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КС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КС!$A$16:$DX$485</definedName>
    <definedName name="AmbCar_Cost">[2]Параметры!$C$40</definedName>
    <definedName name="APop">[2]Параметры!$C$19</definedName>
    <definedName name="ASur_Cost">[2]Параметры!$C$39</definedName>
    <definedName name="DayH_Cost">[2]Параметры!$C$37</definedName>
    <definedName name="Excel_BuiltIn__FilterDatabase_97">#REF!</definedName>
    <definedName name="Excel_BuiltIn__FilterDatabase_98">#REF!</definedName>
    <definedName name="Home_Cost">[2]Параметры!$C$38</definedName>
    <definedName name="MPop">[2]Параметры!$C$20</definedName>
    <definedName name="Pop">[2]Параметры!$C$17</definedName>
    <definedName name="PrU_AS">[2]Параметры!$C$55</definedName>
    <definedName name="PrU_BD">[2]Параметры!$C$51</definedName>
    <definedName name="PrU_DH">[2]Параметры!$C$53</definedName>
    <definedName name="PrU_HH">[2]Параметры!$C$54</definedName>
    <definedName name="PrU_Vi">[2]Параметры!$C$52</definedName>
    <definedName name="RPop">[2]Параметры!$C$18</definedName>
    <definedName name="SFN">[2]Титул!$A$8</definedName>
    <definedName name="SoF">[2]Титул!$K$18</definedName>
    <definedName name="Terr_Ind">[2]Параметры!$C$42</definedName>
    <definedName name="TPop">[2]Параметры!$C$10</definedName>
    <definedName name="YeaM">[2]Титул!$S$70</definedName>
    <definedName name="_xlnm.Database">#REF!</definedName>
    <definedName name="блок" localSheetId="0">'[3]1D_Gorin'!#REF!</definedName>
    <definedName name="блок">'[3]1D_Gorin'!#REF!</definedName>
    <definedName name="_xlnm.Print_Titles" localSheetId="0">КС!$A:$L,КС!$6:$11</definedName>
    <definedName name="новый">'[3]1D_Gorin'!#REF!</definedName>
    <definedName name="ч">'[3]1D_Gorin'!#REF!</definedName>
    <definedName name="ы">'[3]1D_Gorin'!#REF!</definedName>
  </definedNames>
  <calcPr calcId="145621"/>
</workbook>
</file>

<file path=xl/calcChain.xml><?xml version="1.0" encoding="utf-8"?>
<calcChain xmlns="http://schemas.openxmlformats.org/spreadsheetml/2006/main">
  <c r="DA485" i="1" l="1"/>
  <c r="CW485" i="1"/>
  <c r="DN484" i="1"/>
  <c r="DL484" i="1"/>
  <c r="DK484" i="1"/>
  <c r="DI484" i="1"/>
  <c r="DG484" i="1"/>
  <c r="DG483" i="1" s="1"/>
  <c r="DC484" i="1"/>
  <c r="DC483" i="1" s="1"/>
  <c r="CY484" i="1"/>
  <c r="CY483" i="1" s="1"/>
  <c r="CU484" i="1"/>
  <c r="CU483" i="1" s="1"/>
  <c r="CS484" i="1"/>
  <c r="CS483" i="1" s="1"/>
  <c r="CQ484" i="1"/>
  <c r="CO484" i="1"/>
  <c r="CM484" i="1"/>
  <c r="CM483" i="1" s="1"/>
  <c r="CI484" i="1"/>
  <c r="CI483" i="1" s="1"/>
  <c r="CG484" i="1"/>
  <c r="CG483" i="1" s="1"/>
  <c r="CE484" i="1"/>
  <c r="CE483" i="1" s="1"/>
  <c r="CC484" i="1"/>
  <c r="CA484" i="1"/>
  <c r="CA483" i="1" s="1"/>
  <c r="BY484" i="1"/>
  <c r="BW484" i="1"/>
  <c r="BW483" i="1" s="1"/>
  <c r="BU484" i="1"/>
  <c r="BU483" i="1" s="1"/>
  <c r="BS484" i="1"/>
  <c r="BQ484" i="1"/>
  <c r="BO484" i="1"/>
  <c r="BO483" i="1" s="1"/>
  <c r="BM484" i="1"/>
  <c r="BK484" i="1"/>
  <c r="BI484" i="1"/>
  <c r="BI483" i="1" s="1"/>
  <c r="BG484" i="1"/>
  <c r="BG483" i="1" s="1"/>
  <c r="BE484" i="1"/>
  <c r="BC484" i="1"/>
  <c r="BC483" i="1" s="1"/>
  <c r="BA484" i="1"/>
  <c r="BA483" i="1" s="1"/>
  <c r="AY484" i="1"/>
  <c r="AY483" i="1" s="1"/>
  <c r="AW484" i="1"/>
  <c r="AW483" i="1" s="1"/>
  <c r="AU484" i="1"/>
  <c r="AS484" i="1"/>
  <c r="AQ484" i="1"/>
  <c r="AO484" i="1"/>
  <c r="AO483" i="1" s="1"/>
  <c r="AI484" i="1"/>
  <c r="AE484" i="1"/>
  <c r="AE483" i="1" s="1"/>
  <c r="AC484" i="1"/>
  <c r="AB484" i="1"/>
  <c r="W484" i="1"/>
  <c r="W483" i="1" s="1"/>
  <c r="U484" i="1"/>
  <c r="U483" i="1" s="1"/>
  <c r="S484" i="1"/>
  <c r="Q484" i="1"/>
  <c r="DQ483" i="1"/>
  <c r="DP483" i="1"/>
  <c r="DK483" i="1"/>
  <c r="DJ483" i="1"/>
  <c r="DI483" i="1"/>
  <c r="DH483" i="1"/>
  <c r="DF483" i="1"/>
  <c r="DE483" i="1"/>
  <c r="DD483" i="1"/>
  <c r="DB483" i="1"/>
  <c r="CZ483" i="1"/>
  <c r="CX483" i="1"/>
  <c r="CV483" i="1"/>
  <c r="CT483" i="1"/>
  <c r="CR483" i="1"/>
  <c r="CQ483" i="1"/>
  <c r="CP483" i="1"/>
  <c r="CO483" i="1"/>
  <c r="CN483" i="1"/>
  <c r="CL483" i="1"/>
  <c r="CK483" i="1"/>
  <c r="CJ483" i="1"/>
  <c r="CH483" i="1"/>
  <c r="CF483" i="1"/>
  <c r="CD483" i="1"/>
  <c r="CC483" i="1"/>
  <c r="CB483" i="1"/>
  <c r="BZ483" i="1"/>
  <c r="BY483" i="1"/>
  <c r="BX483" i="1"/>
  <c r="BV483" i="1"/>
  <c r="BT483" i="1"/>
  <c r="BS483" i="1"/>
  <c r="BR483" i="1"/>
  <c r="BQ483" i="1"/>
  <c r="BP483" i="1"/>
  <c r="BN483" i="1"/>
  <c r="BM483" i="1"/>
  <c r="BL483" i="1"/>
  <c r="BK483" i="1"/>
  <c r="BJ483" i="1"/>
  <c r="BH483" i="1"/>
  <c r="BF483" i="1"/>
  <c r="BE483" i="1"/>
  <c r="BD483" i="1"/>
  <c r="BB483" i="1"/>
  <c r="AZ483" i="1"/>
  <c r="AX483" i="1"/>
  <c r="AV483" i="1"/>
  <c r="AU483" i="1"/>
  <c r="AT483" i="1"/>
  <c r="AS483" i="1"/>
  <c r="AR483" i="1"/>
  <c r="AQ483" i="1"/>
  <c r="AP483" i="1"/>
  <c r="AN483" i="1"/>
  <c r="AM483" i="1"/>
  <c r="AL483" i="1"/>
  <c r="AK483" i="1"/>
  <c r="AJ483" i="1"/>
  <c r="AI483" i="1"/>
  <c r="AH483" i="1"/>
  <c r="AG483" i="1"/>
  <c r="AF483" i="1"/>
  <c r="AD483" i="1"/>
  <c r="AC483" i="1"/>
  <c r="AB483" i="1"/>
  <c r="V483" i="1"/>
  <c r="T483" i="1"/>
  <c r="S483" i="1"/>
  <c r="R483" i="1"/>
  <c r="P483" i="1"/>
  <c r="DO482" i="1"/>
  <c r="DM482" i="1"/>
  <c r="DK482" i="1"/>
  <c r="DI482" i="1"/>
  <c r="DE482" i="1"/>
  <c r="DC482" i="1"/>
  <c r="CY482" i="1"/>
  <c r="CU482" i="1"/>
  <c r="CS482" i="1"/>
  <c r="CQ482" i="1"/>
  <c r="CO482" i="1"/>
  <c r="CM482" i="1"/>
  <c r="CI482" i="1"/>
  <c r="CG482" i="1"/>
  <c r="CE482" i="1"/>
  <c r="CC482" i="1"/>
  <c r="CA482" i="1"/>
  <c r="BY482" i="1"/>
  <c r="BW482" i="1"/>
  <c r="BU482" i="1"/>
  <c r="BS482" i="1"/>
  <c r="BQ482" i="1"/>
  <c r="BO482" i="1"/>
  <c r="BM482" i="1"/>
  <c r="BI482" i="1"/>
  <c r="BG482" i="1"/>
  <c r="BE482" i="1"/>
  <c r="BC482" i="1"/>
  <c r="AY482" i="1"/>
  <c r="AW482" i="1"/>
  <c r="AU482" i="1"/>
  <c r="AS482" i="1"/>
  <c r="AQ482" i="1"/>
  <c r="AO482" i="1"/>
  <c r="AI482" i="1"/>
  <c r="AE482" i="1"/>
  <c r="AC482" i="1"/>
  <c r="AB482" i="1"/>
  <c r="DR482" i="1" s="1"/>
  <c r="DV482" i="1" s="1"/>
  <c r="W482" i="1"/>
  <c r="U482" i="1"/>
  <c r="S482" i="1"/>
  <c r="Q482" i="1"/>
  <c r="DO481" i="1"/>
  <c r="DM481" i="1"/>
  <c r="DK481" i="1"/>
  <c r="DI481" i="1"/>
  <c r="DE481" i="1"/>
  <c r="DC481" i="1"/>
  <c r="CY481" i="1"/>
  <c r="CU481" i="1"/>
  <c r="CS481" i="1"/>
  <c r="CQ481" i="1"/>
  <c r="CO481" i="1"/>
  <c r="CM481" i="1"/>
  <c r="CI481" i="1"/>
  <c r="CG481" i="1"/>
  <c r="CE481" i="1"/>
  <c r="CC481" i="1"/>
  <c r="CA481" i="1"/>
  <c r="BY481" i="1"/>
  <c r="BW481" i="1"/>
  <c r="BU481" i="1"/>
  <c r="BS481" i="1"/>
  <c r="BQ481" i="1"/>
  <c r="BO481" i="1"/>
  <c r="BM481" i="1"/>
  <c r="BI481" i="1"/>
  <c r="BG481" i="1"/>
  <c r="BE481" i="1"/>
  <c r="BC481" i="1"/>
  <c r="AY481" i="1"/>
  <c r="AW481" i="1"/>
  <c r="AU481" i="1"/>
  <c r="AS481" i="1"/>
  <c r="AQ481" i="1"/>
  <c r="AO481" i="1"/>
  <c r="AI481" i="1"/>
  <c r="AE481" i="1"/>
  <c r="AC481" i="1"/>
  <c r="AB481" i="1"/>
  <c r="DR481" i="1" s="1"/>
  <c r="DV481" i="1" s="1"/>
  <c r="W481" i="1"/>
  <c r="U481" i="1"/>
  <c r="S481" i="1"/>
  <c r="Q481" i="1"/>
  <c r="DO480" i="1"/>
  <c r="DM480" i="1"/>
  <c r="DK480" i="1"/>
  <c r="DI480" i="1"/>
  <c r="DE480" i="1"/>
  <c r="DC480" i="1"/>
  <c r="CY480" i="1"/>
  <c r="CU480" i="1"/>
  <c r="CS480" i="1"/>
  <c r="CQ480" i="1"/>
  <c r="CO480" i="1"/>
  <c r="CM480" i="1"/>
  <c r="CI480" i="1"/>
  <c r="CG480" i="1"/>
  <c r="CE480" i="1"/>
  <c r="CC480" i="1"/>
  <c r="CA480" i="1"/>
  <c r="BY480" i="1"/>
  <c r="BW480" i="1"/>
  <c r="BU480" i="1"/>
  <c r="BS480" i="1"/>
  <c r="BQ480" i="1"/>
  <c r="BO480" i="1"/>
  <c r="BM480" i="1"/>
  <c r="BI480" i="1"/>
  <c r="BG480" i="1"/>
  <c r="BE480" i="1"/>
  <c r="BC480" i="1"/>
  <c r="AY480" i="1"/>
  <c r="AW480" i="1"/>
  <c r="AU480" i="1"/>
  <c r="AS480" i="1"/>
  <c r="AQ480" i="1"/>
  <c r="AO480" i="1"/>
  <c r="AI480" i="1"/>
  <c r="AE480" i="1"/>
  <c r="AC480" i="1"/>
  <c r="AB480" i="1"/>
  <c r="DR480" i="1" s="1"/>
  <c r="DV480" i="1" s="1"/>
  <c r="W480" i="1"/>
  <c r="U480" i="1"/>
  <c r="S480" i="1"/>
  <c r="Q480" i="1"/>
  <c r="DO479" i="1"/>
  <c r="DM479" i="1"/>
  <c r="DK479" i="1"/>
  <c r="DI479" i="1"/>
  <c r="DG479" i="1"/>
  <c r="DC479" i="1"/>
  <c r="CY479" i="1"/>
  <c r="CU479" i="1"/>
  <c r="CS479" i="1"/>
  <c r="CQ479" i="1"/>
  <c r="CO479" i="1"/>
  <c r="CM479" i="1"/>
  <c r="CI479" i="1"/>
  <c r="CG479" i="1"/>
  <c r="CE479" i="1"/>
  <c r="CC479" i="1"/>
  <c r="CA479" i="1"/>
  <c r="BY479" i="1"/>
  <c r="BW479" i="1"/>
  <c r="BU479" i="1"/>
  <c r="BS479" i="1"/>
  <c r="BQ479" i="1"/>
  <c r="BO479" i="1"/>
  <c r="BM479" i="1"/>
  <c r="BK479" i="1"/>
  <c r="BI479" i="1"/>
  <c r="BG479" i="1"/>
  <c r="BE479" i="1"/>
  <c r="BC479" i="1"/>
  <c r="BA479" i="1"/>
  <c r="AY479" i="1"/>
  <c r="AW479" i="1"/>
  <c r="AU479" i="1"/>
  <c r="AS479" i="1"/>
  <c r="AQ479" i="1"/>
  <c r="AO479" i="1"/>
  <c r="AI479" i="1"/>
  <c r="AE479" i="1"/>
  <c r="AC479" i="1"/>
  <c r="AB479" i="1"/>
  <c r="DR479" i="1" s="1"/>
  <c r="DV479" i="1" s="1"/>
  <c r="W479" i="1"/>
  <c r="U479" i="1"/>
  <c r="S479" i="1"/>
  <c r="Q479" i="1"/>
  <c r="DO478" i="1"/>
  <c r="DM478" i="1"/>
  <c r="DK478" i="1"/>
  <c r="DI478" i="1"/>
  <c r="DG478" i="1"/>
  <c r="DC478" i="1"/>
  <c r="CY478" i="1"/>
  <c r="CU478" i="1"/>
  <c r="CS478" i="1"/>
  <c r="CQ478" i="1"/>
  <c r="CO478" i="1"/>
  <c r="CM478" i="1"/>
  <c r="CI478" i="1"/>
  <c r="CG478" i="1"/>
  <c r="CE478" i="1"/>
  <c r="CC478" i="1"/>
  <c r="CA478" i="1"/>
  <c r="BY478" i="1"/>
  <c r="BW478" i="1"/>
  <c r="BU478" i="1"/>
  <c r="BS478" i="1"/>
  <c r="BQ478" i="1"/>
  <c r="BO478" i="1"/>
  <c r="BM478" i="1"/>
  <c r="BK478" i="1"/>
  <c r="BI478" i="1"/>
  <c r="BG478" i="1"/>
  <c r="BE478" i="1"/>
  <c r="BC478" i="1"/>
  <c r="BA478" i="1"/>
  <c r="AY478" i="1"/>
  <c r="AW478" i="1"/>
  <c r="AU478" i="1"/>
  <c r="AS478" i="1"/>
  <c r="AQ478" i="1"/>
  <c r="AO478" i="1"/>
  <c r="AI478" i="1"/>
  <c r="AE478" i="1"/>
  <c r="AC478" i="1"/>
  <c r="AB478" i="1"/>
  <c r="DR478" i="1" s="1"/>
  <c r="DV478" i="1" s="1"/>
  <c r="W478" i="1"/>
  <c r="U478" i="1"/>
  <c r="S478" i="1"/>
  <c r="Q478" i="1"/>
  <c r="DO477" i="1"/>
  <c r="DM477" i="1"/>
  <c r="DK477" i="1"/>
  <c r="DI477" i="1"/>
  <c r="DG477" i="1"/>
  <c r="DC477" i="1"/>
  <c r="CY477" i="1"/>
  <c r="CU477" i="1"/>
  <c r="CS477" i="1"/>
  <c r="CQ477" i="1"/>
  <c r="CO477" i="1"/>
  <c r="CM477" i="1"/>
  <c r="CI477" i="1"/>
  <c r="CG477" i="1"/>
  <c r="CE477" i="1"/>
  <c r="CC477" i="1"/>
  <c r="CA477" i="1"/>
  <c r="BY477" i="1"/>
  <c r="BW477" i="1"/>
  <c r="BU477" i="1"/>
  <c r="BS477" i="1"/>
  <c r="BQ477" i="1"/>
  <c r="BO477" i="1"/>
  <c r="BM477" i="1"/>
  <c r="BK477" i="1"/>
  <c r="BI477" i="1"/>
  <c r="BG477" i="1"/>
  <c r="BE477" i="1"/>
  <c r="BC477" i="1"/>
  <c r="BA477" i="1"/>
  <c r="AY477" i="1"/>
  <c r="AW477" i="1"/>
  <c r="AU477" i="1"/>
  <c r="AS477" i="1"/>
  <c r="AQ477" i="1"/>
  <c r="AO477" i="1"/>
  <c r="AI477" i="1"/>
  <c r="AE477" i="1"/>
  <c r="AC477" i="1"/>
  <c r="AB477" i="1"/>
  <c r="DR477" i="1" s="1"/>
  <c r="DV477" i="1" s="1"/>
  <c r="W477" i="1"/>
  <c r="U477" i="1"/>
  <c r="S477" i="1"/>
  <c r="Q477" i="1"/>
  <c r="DO476" i="1"/>
  <c r="DM476" i="1"/>
  <c r="DK476" i="1"/>
  <c r="DI476" i="1"/>
  <c r="DG476" i="1"/>
  <c r="DC476" i="1"/>
  <c r="CY476" i="1"/>
  <c r="CU476" i="1"/>
  <c r="CS476" i="1"/>
  <c r="CQ476" i="1"/>
  <c r="CO476" i="1"/>
  <c r="CM476" i="1"/>
  <c r="CI476" i="1"/>
  <c r="CG476" i="1"/>
  <c r="CE476" i="1"/>
  <c r="CC476" i="1"/>
  <c r="CA476" i="1"/>
  <c r="BY476" i="1"/>
  <c r="BW476" i="1"/>
  <c r="BU476" i="1"/>
  <c r="BS476" i="1"/>
  <c r="BQ476" i="1"/>
  <c r="BO476" i="1"/>
  <c r="BM476" i="1"/>
  <c r="BK476" i="1"/>
  <c r="BI476" i="1"/>
  <c r="BG476" i="1"/>
  <c r="BE476" i="1"/>
  <c r="BC476" i="1"/>
  <c r="BA476" i="1"/>
  <c r="AY476" i="1"/>
  <c r="AW476" i="1"/>
  <c r="AU476" i="1"/>
  <c r="AS476" i="1"/>
  <c r="AQ476" i="1"/>
  <c r="AO476" i="1"/>
  <c r="AI476" i="1"/>
  <c r="AE476" i="1"/>
  <c r="AC476" i="1"/>
  <c r="AB476" i="1"/>
  <c r="DR476" i="1" s="1"/>
  <c r="DV476" i="1" s="1"/>
  <c r="W476" i="1"/>
  <c r="U476" i="1"/>
  <c r="S476" i="1"/>
  <c r="Q476" i="1"/>
  <c r="DO475" i="1"/>
  <c r="DM475" i="1"/>
  <c r="DK475" i="1"/>
  <c r="DI475" i="1"/>
  <c r="DG475" i="1"/>
  <c r="DC475" i="1"/>
  <c r="CY475" i="1"/>
  <c r="CU475" i="1"/>
  <c r="CS475" i="1"/>
  <c r="CQ475" i="1"/>
  <c r="CO475" i="1"/>
  <c r="CM475" i="1"/>
  <c r="CI475" i="1"/>
  <c r="CG475" i="1"/>
  <c r="CE475" i="1"/>
  <c r="CC475" i="1"/>
  <c r="CA475" i="1"/>
  <c r="BY475" i="1"/>
  <c r="BW475" i="1"/>
  <c r="BU475" i="1"/>
  <c r="BS475" i="1"/>
  <c r="BQ475" i="1"/>
  <c r="BO475" i="1"/>
  <c r="BM475" i="1"/>
  <c r="BK475" i="1"/>
  <c r="BI475" i="1"/>
  <c r="BG475" i="1"/>
  <c r="BE475" i="1"/>
  <c r="BC475" i="1"/>
  <c r="BA475" i="1"/>
  <c r="AY475" i="1"/>
  <c r="AW475" i="1"/>
  <c r="AU475" i="1"/>
  <c r="AS475" i="1"/>
  <c r="AQ475" i="1"/>
  <c r="AO475" i="1"/>
  <c r="AI475" i="1"/>
  <c r="AE475" i="1"/>
  <c r="AC475" i="1"/>
  <c r="AB475" i="1"/>
  <c r="DR475" i="1" s="1"/>
  <c r="DV475" i="1" s="1"/>
  <c r="W475" i="1"/>
  <c r="U475" i="1"/>
  <c r="S475" i="1"/>
  <c r="Q475" i="1"/>
  <c r="DO474" i="1"/>
  <c r="DM474" i="1"/>
  <c r="DK474" i="1"/>
  <c r="DI474" i="1"/>
  <c r="DG474" i="1"/>
  <c r="DC474" i="1"/>
  <c r="CY474" i="1"/>
  <c r="CU474" i="1"/>
  <c r="CS474" i="1"/>
  <c r="CQ474" i="1"/>
  <c r="CO474" i="1"/>
  <c r="CM474" i="1"/>
  <c r="CI474" i="1"/>
  <c r="CG474" i="1"/>
  <c r="CE474" i="1"/>
  <c r="CC474" i="1"/>
  <c r="CA474" i="1"/>
  <c r="BY474" i="1"/>
  <c r="BW474" i="1"/>
  <c r="BU474" i="1"/>
  <c r="BS474" i="1"/>
  <c r="BQ474" i="1"/>
  <c r="BO474" i="1"/>
  <c r="BM474" i="1"/>
  <c r="BK474" i="1"/>
  <c r="BI474" i="1"/>
  <c r="BG474" i="1"/>
  <c r="BE474" i="1"/>
  <c r="BC474" i="1"/>
  <c r="BA474" i="1"/>
  <c r="AY474" i="1"/>
  <c r="AW474" i="1"/>
  <c r="AU474" i="1"/>
  <c r="AS474" i="1"/>
  <c r="AQ474" i="1"/>
  <c r="AO474" i="1"/>
  <c r="AI474" i="1"/>
  <c r="AE474" i="1"/>
  <c r="AC474" i="1"/>
  <c r="AB474" i="1"/>
  <c r="DR474" i="1" s="1"/>
  <c r="DV474" i="1" s="1"/>
  <c r="W474" i="1"/>
  <c r="U474" i="1"/>
  <c r="S474" i="1"/>
  <c r="Q474" i="1"/>
  <c r="DO473" i="1"/>
  <c r="DM473" i="1"/>
  <c r="DK473" i="1"/>
  <c r="DI473" i="1"/>
  <c r="DG473" i="1"/>
  <c r="DC473" i="1"/>
  <c r="CY473" i="1"/>
  <c r="CU473" i="1"/>
  <c r="CS473" i="1"/>
  <c r="CQ473" i="1"/>
  <c r="CO473" i="1"/>
  <c r="CM473" i="1"/>
  <c r="CI473" i="1"/>
  <c r="CG473" i="1"/>
  <c r="CE473" i="1"/>
  <c r="CC473" i="1"/>
  <c r="CA473" i="1"/>
  <c r="BY473" i="1"/>
  <c r="BW473" i="1"/>
  <c r="BU473" i="1"/>
  <c r="BS473" i="1"/>
  <c r="BQ473" i="1"/>
  <c r="BO473" i="1"/>
  <c r="BM473" i="1"/>
  <c r="BK473" i="1"/>
  <c r="BI473" i="1"/>
  <c r="BG473" i="1"/>
  <c r="BE473" i="1"/>
  <c r="BC473" i="1"/>
  <c r="BA473" i="1"/>
  <c r="AY473" i="1"/>
  <c r="AW473" i="1"/>
  <c r="AU473" i="1"/>
  <c r="AS473" i="1"/>
  <c r="AQ473" i="1"/>
  <c r="AO473" i="1"/>
  <c r="AI473" i="1"/>
  <c r="AE473" i="1"/>
  <c r="AC473" i="1"/>
  <c r="AB473" i="1"/>
  <c r="DR473" i="1" s="1"/>
  <c r="DV473" i="1" s="1"/>
  <c r="W473" i="1"/>
  <c r="U473" i="1"/>
  <c r="S473" i="1"/>
  <c r="Q473" i="1"/>
  <c r="DO472" i="1"/>
  <c r="DM472" i="1"/>
  <c r="DK472" i="1"/>
  <c r="DI472" i="1"/>
  <c r="DG472" i="1"/>
  <c r="DC472" i="1"/>
  <c r="CY472" i="1"/>
  <c r="CU472" i="1"/>
  <c r="CS472" i="1"/>
  <c r="CQ472" i="1"/>
  <c r="CO472" i="1"/>
  <c r="CM472" i="1"/>
  <c r="CI472" i="1"/>
  <c r="CG472" i="1"/>
  <c r="CE472" i="1"/>
  <c r="CC472" i="1"/>
  <c r="CA472" i="1"/>
  <c r="BY472" i="1"/>
  <c r="BW472" i="1"/>
  <c r="BU472" i="1"/>
  <c r="BS472" i="1"/>
  <c r="BQ472" i="1"/>
  <c r="BO472" i="1"/>
  <c r="BM472" i="1"/>
  <c r="BK472" i="1"/>
  <c r="BI472" i="1"/>
  <c r="BG472" i="1"/>
  <c r="BE472" i="1"/>
  <c r="BC472" i="1"/>
  <c r="BA472" i="1"/>
  <c r="AY472" i="1"/>
  <c r="AW472" i="1"/>
  <c r="AU472" i="1"/>
  <c r="AS472" i="1"/>
  <c r="AQ472" i="1"/>
  <c r="AO472" i="1"/>
  <c r="AI472" i="1"/>
  <c r="AE472" i="1"/>
  <c r="AC472" i="1"/>
  <c r="AB472" i="1"/>
  <c r="DR472" i="1" s="1"/>
  <c r="DV472" i="1" s="1"/>
  <c r="W472" i="1"/>
  <c r="U472" i="1"/>
  <c r="S472" i="1"/>
  <c r="Q472" i="1"/>
  <c r="DO471" i="1"/>
  <c r="DM471" i="1"/>
  <c r="DK471" i="1"/>
  <c r="DI471" i="1"/>
  <c r="DG471" i="1"/>
  <c r="DC471" i="1"/>
  <c r="CY471" i="1"/>
  <c r="CU471" i="1"/>
  <c r="CS471" i="1"/>
  <c r="CQ471" i="1"/>
  <c r="CO471" i="1"/>
  <c r="CM471" i="1"/>
  <c r="CI471" i="1"/>
  <c r="CG471" i="1"/>
  <c r="CE471" i="1"/>
  <c r="CC471" i="1"/>
  <c r="CA471" i="1"/>
  <c r="BY471" i="1"/>
  <c r="BW471" i="1"/>
  <c r="BU471" i="1"/>
  <c r="BS471" i="1"/>
  <c r="BQ471" i="1"/>
  <c r="BO471" i="1"/>
  <c r="BM471" i="1"/>
  <c r="BK471" i="1"/>
  <c r="BI471" i="1"/>
  <c r="BG471" i="1"/>
  <c r="BE471" i="1"/>
  <c r="BC471" i="1"/>
  <c r="BA471" i="1"/>
  <c r="AY471" i="1"/>
  <c r="AW471" i="1"/>
  <c r="AU471" i="1"/>
  <c r="AS471" i="1"/>
  <c r="AQ471" i="1"/>
  <c r="AO471" i="1"/>
  <c r="AI471" i="1"/>
  <c r="AE471" i="1"/>
  <c r="AC471" i="1"/>
  <c r="AB471" i="1"/>
  <c r="DR471" i="1" s="1"/>
  <c r="DV471" i="1" s="1"/>
  <c r="W471" i="1"/>
  <c r="U471" i="1"/>
  <c r="S471" i="1"/>
  <c r="Q471" i="1"/>
  <c r="DO470" i="1"/>
  <c r="DM470" i="1"/>
  <c r="DK470" i="1"/>
  <c r="DI470" i="1"/>
  <c r="DG470" i="1"/>
  <c r="DC470" i="1"/>
  <c r="CY470" i="1"/>
  <c r="CU470" i="1"/>
  <c r="CS470" i="1"/>
  <c r="CQ470" i="1"/>
  <c r="CO470" i="1"/>
  <c r="CM470" i="1"/>
  <c r="CI470" i="1"/>
  <c r="CG470" i="1"/>
  <c r="CE470" i="1"/>
  <c r="CC470" i="1"/>
  <c r="CA470" i="1"/>
  <c r="BY470" i="1"/>
  <c r="BW470" i="1"/>
  <c r="BU470" i="1"/>
  <c r="BS470" i="1"/>
  <c r="BQ470" i="1"/>
  <c r="BO470" i="1"/>
  <c r="BM470" i="1"/>
  <c r="BK470" i="1"/>
  <c r="BI470" i="1"/>
  <c r="BG470" i="1"/>
  <c r="BE470" i="1"/>
  <c r="BC470" i="1"/>
  <c r="BA470" i="1"/>
  <c r="AY470" i="1"/>
  <c r="AW470" i="1"/>
  <c r="AU470" i="1"/>
  <c r="AS470" i="1"/>
  <c r="AQ470" i="1"/>
  <c r="AO470" i="1"/>
  <c r="AI470" i="1"/>
  <c r="AE470" i="1"/>
  <c r="AC470" i="1"/>
  <c r="AB470" i="1"/>
  <c r="DR470" i="1" s="1"/>
  <c r="DV470" i="1" s="1"/>
  <c r="W470" i="1"/>
  <c r="U470" i="1"/>
  <c r="S470" i="1"/>
  <c r="Q470" i="1"/>
  <c r="DO469" i="1"/>
  <c r="DM469" i="1"/>
  <c r="DK469" i="1"/>
  <c r="DI469" i="1"/>
  <c r="DG469" i="1"/>
  <c r="DC469" i="1"/>
  <c r="CY469" i="1"/>
  <c r="CU469" i="1"/>
  <c r="CS469" i="1"/>
  <c r="CQ469" i="1"/>
  <c r="CO469" i="1"/>
  <c r="CM469" i="1"/>
  <c r="CI469" i="1"/>
  <c r="CG469" i="1"/>
  <c r="CE469" i="1"/>
  <c r="CC469" i="1"/>
  <c r="CA469" i="1"/>
  <c r="BY469" i="1"/>
  <c r="BW469" i="1"/>
  <c r="BU469" i="1"/>
  <c r="BS469" i="1"/>
  <c r="BQ469" i="1"/>
  <c r="BO469" i="1"/>
  <c r="BM469" i="1"/>
  <c r="BK469" i="1"/>
  <c r="BI469" i="1"/>
  <c r="BG469" i="1"/>
  <c r="BE469" i="1"/>
  <c r="BC469" i="1"/>
  <c r="BA469" i="1"/>
  <c r="AY469" i="1"/>
  <c r="AW469" i="1"/>
  <c r="AU469" i="1"/>
  <c r="AS469" i="1"/>
  <c r="AQ469" i="1"/>
  <c r="AO469" i="1"/>
  <c r="AI469" i="1"/>
  <c r="AE469" i="1"/>
  <c r="AC469" i="1"/>
  <c r="AB469" i="1"/>
  <c r="DR469" i="1" s="1"/>
  <c r="DV469" i="1" s="1"/>
  <c r="W469" i="1"/>
  <c r="U469" i="1"/>
  <c r="S469" i="1"/>
  <c r="Q469" i="1"/>
  <c r="DO468" i="1"/>
  <c r="DM468" i="1"/>
  <c r="DK468" i="1"/>
  <c r="DI468" i="1"/>
  <c r="DG468" i="1"/>
  <c r="DC468" i="1"/>
  <c r="CY468" i="1"/>
  <c r="CU468" i="1"/>
  <c r="CS468" i="1"/>
  <c r="CQ468" i="1"/>
  <c r="CO468" i="1"/>
  <c r="CM468" i="1"/>
  <c r="CI468" i="1"/>
  <c r="CG468" i="1"/>
  <c r="CE468" i="1"/>
  <c r="CC468" i="1"/>
  <c r="CA468" i="1"/>
  <c r="BY468" i="1"/>
  <c r="BW468" i="1"/>
  <c r="BU468" i="1"/>
  <c r="BS468" i="1"/>
  <c r="BQ468" i="1"/>
  <c r="BO468" i="1"/>
  <c r="BM468" i="1"/>
  <c r="BK468" i="1"/>
  <c r="BI468" i="1"/>
  <c r="BG468" i="1"/>
  <c r="BE468" i="1"/>
  <c r="BC468" i="1"/>
  <c r="BA468" i="1"/>
  <c r="AY468" i="1"/>
  <c r="AW468" i="1"/>
  <c r="AU468" i="1"/>
  <c r="AS468" i="1"/>
  <c r="AQ468" i="1"/>
  <c r="AO468" i="1"/>
  <c r="AI468" i="1"/>
  <c r="AE468" i="1"/>
  <c r="AC468" i="1"/>
  <c r="AB468" i="1"/>
  <c r="DR468" i="1" s="1"/>
  <c r="DV468" i="1" s="1"/>
  <c r="W468" i="1"/>
  <c r="U468" i="1"/>
  <c r="S468" i="1"/>
  <c r="Q468" i="1"/>
  <c r="DS468" i="1" s="1"/>
  <c r="DW468" i="1" s="1"/>
  <c r="DO467" i="1"/>
  <c r="DM467" i="1"/>
  <c r="DK467" i="1"/>
  <c r="DI467" i="1"/>
  <c r="DG467" i="1"/>
  <c r="DC467" i="1"/>
  <c r="CY467" i="1"/>
  <c r="CU467" i="1"/>
  <c r="CS467" i="1"/>
  <c r="CQ467" i="1"/>
  <c r="CO467" i="1"/>
  <c r="CM467" i="1"/>
  <c r="CI467" i="1"/>
  <c r="CG467" i="1"/>
  <c r="CE467" i="1"/>
  <c r="CC467" i="1"/>
  <c r="CA467" i="1"/>
  <c r="BY467" i="1"/>
  <c r="BW467" i="1"/>
  <c r="BU467" i="1"/>
  <c r="BS467" i="1"/>
  <c r="BQ467" i="1"/>
  <c r="BO467" i="1"/>
  <c r="BM467" i="1"/>
  <c r="BK467" i="1"/>
  <c r="BI467" i="1"/>
  <c r="BG467" i="1"/>
  <c r="BE467" i="1"/>
  <c r="BC467" i="1"/>
  <c r="BA467" i="1"/>
  <c r="AY467" i="1"/>
  <c r="AW467" i="1"/>
  <c r="AU467" i="1"/>
  <c r="AS467" i="1"/>
  <c r="AQ467" i="1"/>
  <c r="AO467" i="1"/>
  <c r="AI467" i="1"/>
  <c r="AE467" i="1"/>
  <c r="AC467" i="1"/>
  <c r="AB467" i="1"/>
  <c r="DR467" i="1" s="1"/>
  <c r="DV467" i="1" s="1"/>
  <c r="W467" i="1"/>
  <c r="U467" i="1"/>
  <c r="S467" i="1"/>
  <c r="Q467" i="1"/>
  <c r="DO466" i="1"/>
  <c r="DM466" i="1"/>
  <c r="DK466" i="1"/>
  <c r="DI466" i="1"/>
  <c r="DG466" i="1"/>
  <c r="DC466" i="1"/>
  <c r="CY466" i="1"/>
  <c r="CU466" i="1"/>
  <c r="CS466" i="1"/>
  <c r="CQ466" i="1"/>
  <c r="CO466" i="1"/>
  <c r="CM466" i="1"/>
  <c r="CI466" i="1"/>
  <c r="CG466" i="1"/>
  <c r="CE466" i="1"/>
  <c r="CC466" i="1"/>
  <c r="CA466" i="1"/>
  <c r="BY466" i="1"/>
  <c r="BW466" i="1"/>
  <c r="BU466" i="1"/>
  <c r="BS466" i="1"/>
  <c r="BQ466" i="1"/>
  <c r="BO466" i="1"/>
  <c r="BM466" i="1"/>
  <c r="BK466" i="1"/>
  <c r="BI466" i="1"/>
  <c r="BG466" i="1"/>
  <c r="BE466" i="1"/>
  <c r="BC466" i="1"/>
  <c r="BA466" i="1"/>
  <c r="AY466" i="1"/>
  <c r="AW466" i="1"/>
  <c r="AU466" i="1"/>
  <c r="AS466" i="1"/>
  <c r="AQ466" i="1"/>
  <c r="AO466" i="1"/>
  <c r="AI466" i="1"/>
  <c r="AE466" i="1"/>
  <c r="AC466" i="1"/>
  <c r="AB466" i="1"/>
  <c r="DR466" i="1" s="1"/>
  <c r="DV466" i="1" s="1"/>
  <c r="W466" i="1"/>
  <c r="U466" i="1"/>
  <c r="S466" i="1"/>
  <c r="Q466" i="1"/>
  <c r="DO465" i="1"/>
  <c r="DM465" i="1"/>
  <c r="DK465" i="1"/>
  <c r="DI465" i="1"/>
  <c r="DG465" i="1"/>
  <c r="DC465" i="1"/>
  <c r="CY465" i="1"/>
  <c r="CU465" i="1"/>
  <c r="CS465" i="1"/>
  <c r="CQ465" i="1"/>
  <c r="CO465" i="1"/>
  <c r="CM465" i="1"/>
  <c r="CI465" i="1"/>
  <c r="CG465" i="1"/>
  <c r="CE465" i="1"/>
  <c r="CC465" i="1"/>
  <c r="CA465" i="1"/>
  <c r="BY465" i="1"/>
  <c r="BW465" i="1"/>
  <c r="BU465" i="1"/>
  <c r="BS465" i="1"/>
  <c r="BQ465" i="1"/>
  <c r="BO465" i="1"/>
  <c r="BM465" i="1"/>
  <c r="BK465" i="1"/>
  <c r="BI465" i="1"/>
  <c r="BG465" i="1"/>
  <c r="BE465" i="1"/>
  <c r="BC465" i="1"/>
  <c r="BA465" i="1"/>
  <c r="AY465" i="1"/>
  <c r="AW465" i="1"/>
  <c r="AU465" i="1"/>
  <c r="AS465" i="1"/>
  <c r="AQ465" i="1"/>
  <c r="AO465" i="1"/>
  <c r="AI465" i="1"/>
  <c r="AE465" i="1"/>
  <c r="AC465" i="1"/>
  <c r="AB465" i="1"/>
  <c r="DR465" i="1" s="1"/>
  <c r="DV465" i="1" s="1"/>
  <c r="W465" i="1"/>
  <c r="U465" i="1"/>
  <c r="S465" i="1"/>
  <c r="Q465" i="1"/>
  <c r="DO464" i="1"/>
  <c r="DM464" i="1"/>
  <c r="DK464" i="1"/>
  <c r="DI464" i="1"/>
  <c r="DG464" i="1"/>
  <c r="DC464" i="1"/>
  <c r="CY464" i="1"/>
  <c r="CU464" i="1"/>
  <c r="CS464" i="1"/>
  <c r="CQ464" i="1"/>
  <c r="CO464" i="1"/>
  <c r="CM464" i="1"/>
  <c r="CI464" i="1"/>
  <c r="CG464" i="1"/>
  <c r="CE464" i="1"/>
  <c r="CC464" i="1"/>
  <c r="CA464" i="1"/>
  <c r="BY464" i="1"/>
  <c r="BW464" i="1"/>
  <c r="BU464" i="1"/>
  <c r="BS464" i="1"/>
  <c r="BQ464" i="1"/>
  <c r="BO464" i="1"/>
  <c r="BM464" i="1"/>
  <c r="BK464" i="1"/>
  <c r="BI464" i="1"/>
  <c r="BG464" i="1"/>
  <c r="BE464" i="1"/>
  <c r="BC464" i="1"/>
  <c r="BA464" i="1"/>
  <c r="AY464" i="1"/>
  <c r="AW464" i="1"/>
  <c r="AU464" i="1"/>
  <c r="AS464" i="1"/>
  <c r="AQ464" i="1"/>
  <c r="AO464" i="1"/>
  <c r="AI464" i="1"/>
  <c r="AE464" i="1"/>
  <c r="AC464" i="1"/>
  <c r="AB464" i="1"/>
  <c r="DR464" i="1" s="1"/>
  <c r="DV464" i="1" s="1"/>
  <c r="W464" i="1"/>
  <c r="U464" i="1"/>
  <c r="S464" i="1"/>
  <c r="Q464" i="1"/>
  <c r="DO463" i="1"/>
  <c r="DM463" i="1"/>
  <c r="DK463" i="1"/>
  <c r="DI463" i="1"/>
  <c r="DG463" i="1"/>
  <c r="DC463" i="1"/>
  <c r="CY463" i="1"/>
  <c r="CU463" i="1"/>
  <c r="CS463" i="1"/>
  <c r="CQ463" i="1"/>
  <c r="CO463" i="1"/>
  <c r="CM463" i="1"/>
  <c r="CI463" i="1"/>
  <c r="CG463" i="1"/>
  <c r="CE463" i="1"/>
  <c r="CC463" i="1"/>
  <c r="CA463" i="1"/>
  <c r="BY463" i="1"/>
  <c r="BW463" i="1"/>
  <c r="BU463" i="1"/>
  <c r="BS463" i="1"/>
  <c r="BQ463" i="1"/>
  <c r="BO463" i="1"/>
  <c r="BM463" i="1"/>
  <c r="BK463" i="1"/>
  <c r="BI463" i="1"/>
  <c r="BG463" i="1"/>
  <c r="BE463" i="1"/>
  <c r="BC463" i="1"/>
  <c r="BA463" i="1"/>
  <c r="AY463" i="1"/>
  <c r="AW463" i="1"/>
  <c r="AU463" i="1"/>
  <c r="AS463" i="1"/>
  <c r="AQ463" i="1"/>
  <c r="AO463" i="1"/>
  <c r="AI463" i="1"/>
  <c r="AE463" i="1"/>
  <c r="AC463" i="1"/>
  <c r="AB463" i="1"/>
  <c r="DR463" i="1" s="1"/>
  <c r="DV463" i="1" s="1"/>
  <c r="W463" i="1"/>
  <c r="U463" i="1"/>
  <c r="S463" i="1"/>
  <c r="Q463" i="1"/>
  <c r="DO462" i="1"/>
  <c r="DM462" i="1"/>
  <c r="DK462" i="1"/>
  <c r="DI462" i="1"/>
  <c r="DG462" i="1"/>
  <c r="DC462" i="1"/>
  <c r="CY462" i="1"/>
  <c r="CU462" i="1"/>
  <c r="CS462" i="1"/>
  <c r="CQ462" i="1"/>
  <c r="CO462" i="1"/>
  <c r="CM462" i="1"/>
  <c r="CI462" i="1"/>
  <c r="CG462" i="1"/>
  <c r="CE462" i="1"/>
  <c r="CC462" i="1"/>
  <c r="CA462" i="1"/>
  <c r="BY462" i="1"/>
  <c r="BW462" i="1"/>
  <c r="BU462" i="1"/>
  <c r="BS462" i="1"/>
  <c r="BQ462" i="1"/>
  <c r="BO462" i="1"/>
  <c r="BM462" i="1"/>
  <c r="BK462" i="1"/>
  <c r="BI462" i="1"/>
  <c r="BG462" i="1"/>
  <c r="BE462" i="1"/>
  <c r="BC462" i="1"/>
  <c r="BA462" i="1"/>
  <c r="AY462" i="1"/>
  <c r="AW462" i="1"/>
  <c r="AU462" i="1"/>
  <c r="AS462" i="1"/>
  <c r="AQ462" i="1"/>
  <c r="AO462" i="1"/>
  <c r="AI462" i="1"/>
  <c r="AE462" i="1"/>
  <c r="AC462" i="1"/>
  <c r="AB462" i="1"/>
  <c r="DR462" i="1" s="1"/>
  <c r="DV462" i="1" s="1"/>
  <c r="W462" i="1"/>
  <c r="U462" i="1"/>
  <c r="S462" i="1"/>
  <c r="Q462" i="1"/>
  <c r="DO461" i="1"/>
  <c r="DM461" i="1"/>
  <c r="DK461" i="1"/>
  <c r="DI461" i="1"/>
  <c r="DG461" i="1"/>
  <c r="DC461" i="1"/>
  <c r="CY461" i="1"/>
  <c r="CU461" i="1"/>
  <c r="CS461" i="1"/>
  <c r="CQ461" i="1"/>
  <c r="CO461" i="1"/>
  <c r="CM461" i="1"/>
  <c r="CI461" i="1"/>
  <c r="CG461" i="1"/>
  <c r="CE461" i="1"/>
  <c r="CC461" i="1"/>
  <c r="CA461" i="1"/>
  <c r="BY461" i="1"/>
  <c r="BW461" i="1"/>
  <c r="BU461" i="1"/>
  <c r="BS461" i="1"/>
  <c r="BQ461" i="1"/>
  <c r="BO461" i="1"/>
  <c r="BM461" i="1"/>
  <c r="BK461" i="1"/>
  <c r="BI461" i="1"/>
  <c r="BG461" i="1"/>
  <c r="BE461" i="1"/>
  <c r="BC461" i="1"/>
  <c r="BA461" i="1"/>
  <c r="AY461" i="1"/>
  <c r="AW461" i="1"/>
  <c r="AU461" i="1"/>
  <c r="AS461" i="1"/>
  <c r="AQ461" i="1"/>
  <c r="AO461" i="1"/>
  <c r="AI461" i="1"/>
  <c r="AE461" i="1"/>
  <c r="AC461" i="1"/>
  <c r="AB461" i="1"/>
  <c r="DR461" i="1" s="1"/>
  <c r="W461" i="1"/>
  <c r="U461" i="1"/>
  <c r="S461" i="1"/>
  <c r="Q461" i="1"/>
  <c r="DO460" i="1"/>
  <c r="DM460" i="1"/>
  <c r="DK460" i="1"/>
  <c r="DI460" i="1"/>
  <c r="DE460" i="1"/>
  <c r="DE456" i="1" s="1"/>
  <c r="DC460" i="1"/>
  <c r="CY460" i="1"/>
  <c r="CU460" i="1"/>
  <c r="CS460" i="1"/>
  <c r="CQ460" i="1"/>
  <c r="CO460" i="1"/>
  <c r="CM460" i="1"/>
  <c r="CI460" i="1"/>
  <c r="CG460" i="1"/>
  <c r="CE460" i="1"/>
  <c r="CC460" i="1"/>
  <c r="CA460" i="1"/>
  <c r="BY460" i="1"/>
  <c r="BW460" i="1"/>
  <c r="BU460" i="1"/>
  <c r="BS460" i="1"/>
  <c r="BQ460" i="1"/>
  <c r="BO460" i="1"/>
  <c r="BM460" i="1"/>
  <c r="BI460" i="1"/>
  <c r="BG460" i="1"/>
  <c r="BE460" i="1"/>
  <c r="BC460" i="1"/>
  <c r="BA460" i="1"/>
  <c r="AY460" i="1"/>
  <c r="AW460" i="1"/>
  <c r="AU460" i="1"/>
  <c r="AS460" i="1"/>
  <c r="AQ460" i="1"/>
  <c r="AO460" i="1"/>
  <c r="AI460" i="1"/>
  <c r="AE460" i="1"/>
  <c r="AC460" i="1"/>
  <c r="AB460" i="1"/>
  <c r="DR460" i="1" s="1"/>
  <c r="DV460" i="1" s="1"/>
  <c r="W460" i="1"/>
  <c r="U460" i="1"/>
  <c r="S460" i="1"/>
  <c r="Q460" i="1"/>
  <c r="DR459" i="1"/>
  <c r="DV459" i="1" s="1"/>
  <c r="DO459" i="1"/>
  <c r="DM459" i="1"/>
  <c r="DK459" i="1"/>
  <c r="DI459" i="1"/>
  <c r="DG459" i="1"/>
  <c r="DC459" i="1"/>
  <c r="CY459" i="1"/>
  <c r="CU459" i="1"/>
  <c r="CS459" i="1"/>
  <c r="CQ459" i="1"/>
  <c r="CO459" i="1"/>
  <c r="CM459" i="1"/>
  <c r="CI459" i="1"/>
  <c r="CG459" i="1"/>
  <c r="CE459" i="1"/>
  <c r="CC459" i="1"/>
  <c r="CA459" i="1"/>
  <c r="BY459" i="1"/>
  <c r="BW459" i="1"/>
  <c r="BU459" i="1"/>
  <c r="BS459" i="1"/>
  <c r="BQ459" i="1"/>
  <c r="BO459" i="1"/>
  <c r="BM459" i="1"/>
  <c r="BK459" i="1"/>
  <c r="BI459" i="1"/>
  <c r="BG459" i="1"/>
  <c r="BE459" i="1"/>
  <c r="BC459" i="1"/>
  <c r="BA459" i="1"/>
  <c r="AY459" i="1"/>
  <c r="AW459" i="1"/>
  <c r="AU459" i="1"/>
  <c r="AS459" i="1"/>
  <c r="AQ459" i="1"/>
  <c r="AO459" i="1"/>
  <c r="AI459" i="1"/>
  <c r="AE459" i="1"/>
  <c r="AC459" i="1"/>
  <c r="AB459" i="1"/>
  <c r="W459" i="1"/>
  <c r="U459" i="1"/>
  <c r="S459" i="1"/>
  <c r="Q459" i="1"/>
  <c r="DO458" i="1"/>
  <c r="DM458" i="1"/>
  <c r="DK458" i="1"/>
  <c r="DK456" i="1" s="1"/>
  <c r="DI458" i="1"/>
  <c r="DG458" i="1"/>
  <c r="DC458" i="1"/>
  <c r="CY458" i="1"/>
  <c r="CU458" i="1"/>
  <c r="CS458" i="1"/>
  <c r="CS456" i="1" s="1"/>
  <c r="CQ458" i="1"/>
  <c r="CO458" i="1"/>
  <c r="CM458" i="1"/>
  <c r="CI458" i="1"/>
  <c r="CG458" i="1"/>
  <c r="CE458" i="1"/>
  <c r="CE456" i="1" s="1"/>
  <c r="CC458" i="1"/>
  <c r="CA458" i="1"/>
  <c r="BY458" i="1"/>
  <c r="BW458" i="1"/>
  <c r="BU458" i="1"/>
  <c r="BS458" i="1"/>
  <c r="BS456" i="1" s="1"/>
  <c r="BQ458" i="1"/>
  <c r="BO458" i="1"/>
  <c r="BM458" i="1"/>
  <c r="BK458" i="1"/>
  <c r="BI458" i="1"/>
  <c r="BG458" i="1"/>
  <c r="BE458" i="1"/>
  <c r="BC458" i="1"/>
  <c r="BA458" i="1"/>
  <c r="AY458" i="1"/>
  <c r="AW458" i="1"/>
  <c r="AU458" i="1"/>
  <c r="AS458" i="1"/>
  <c r="AQ458" i="1"/>
  <c r="AO458" i="1"/>
  <c r="AI458" i="1"/>
  <c r="AE458" i="1"/>
  <c r="AC458" i="1"/>
  <c r="AB458" i="1"/>
  <c r="DR458" i="1" s="1"/>
  <c r="DV458" i="1" s="1"/>
  <c r="W458" i="1"/>
  <c r="U458" i="1"/>
  <c r="S458" i="1"/>
  <c r="Q458" i="1"/>
  <c r="DR457" i="1"/>
  <c r="DV457" i="1" s="1"/>
  <c r="DO457" i="1"/>
  <c r="DM457" i="1"/>
  <c r="DK457" i="1"/>
  <c r="DI457" i="1"/>
  <c r="DG457" i="1"/>
  <c r="DC457" i="1"/>
  <c r="DC456" i="1" s="1"/>
  <c r="CY457" i="1"/>
  <c r="CU457" i="1"/>
  <c r="CS457" i="1"/>
  <c r="CQ457" i="1"/>
  <c r="CO457" i="1"/>
  <c r="CM457" i="1"/>
  <c r="CI457" i="1"/>
  <c r="CG457" i="1"/>
  <c r="CE457" i="1"/>
  <c r="CC457" i="1"/>
  <c r="CA457" i="1"/>
  <c r="BY457" i="1"/>
  <c r="BY456" i="1" s="1"/>
  <c r="BW457" i="1"/>
  <c r="BU457" i="1"/>
  <c r="BS457" i="1"/>
  <c r="BQ457" i="1"/>
  <c r="BO457" i="1"/>
  <c r="BM457" i="1"/>
  <c r="BM456" i="1" s="1"/>
  <c r="BK457" i="1"/>
  <c r="BI457" i="1"/>
  <c r="BG457" i="1"/>
  <c r="BE457" i="1"/>
  <c r="BC457" i="1"/>
  <c r="BA457" i="1"/>
  <c r="BA456" i="1" s="1"/>
  <c r="AY457" i="1"/>
  <c r="AW457" i="1"/>
  <c r="AU457" i="1"/>
  <c r="AS457" i="1"/>
  <c r="AQ457" i="1"/>
  <c r="AO457" i="1"/>
  <c r="AO456" i="1" s="1"/>
  <c r="AI457" i="1"/>
  <c r="AE457" i="1"/>
  <c r="AC457" i="1"/>
  <c r="AB457" i="1"/>
  <c r="W457" i="1"/>
  <c r="U457" i="1"/>
  <c r="S457" i="1"/>
  <c r="Q457" i="1"/>
  <c r="DQ456" i="1"/>
  <c r="DP456" i="1"/>
  <c r="DN456" i="1"/>
  <c r="DL456" i="1"/>
  <c r="DJ456" i="1"/>
  <c r="DH456" i="1"/>
  <c r="DF456" i="1"/>
  <c r="DD456" i="1"/>
  <c r="DB456" i="1"/>
  <c r="CZ456" i="1"/>
  <c r="CX456" i="1"/>
  <c r="CV456" i="1"/>
  <c r="CT456" i="1"/>
  <c r="CR456" i="1"/>
  <c r="CP456" i="1"/>
  <c r="CN456" i="1"/>
  <c r="CL456" i="1"/>
  <c r="CK456" i="1"/>
  <c r="CJ456" i="1"/>
  <c r="CH456" i="1"/>
  <c r="CF456" i="1"/>
  <c r="CD456" i="1"/>
  <c r="CB456" i="1"/>
  <c r="BZ456" i="1"/>
  <c r="BX456" i="1"/>
  <c r="BV456" i="1"/>
  <c r="BT456" i="1"/>
  <c r="BR456" i="1"/>
  <c r="BP456" i="1"/>
  <c r="BN456" i="1"/>
  <c r="BL456" i="1"/>
  <c r="BJ456" i="1"/>
  <c r="BH456" i="1"/>
  <c r="BF456" i="1"/>
  <c r="BD456" i="1"/>
  <c r="BB456" i="1"/>
  <c r="AZ456" i="1"/>
  <c r="AX456" i="1"/>
  <c r="AV456" i="1"/>
  <c r="AT456" i="1"/>
  <c r="AR456" i="1"/>
  <c r="AP456" i="1"/>
  <c r="AN456" i="1"/>
  <c r="AM456" i="1"/>
  <c r="AL456" i="1"/>
  <c r="AK456" i="1"/>
  <c r="AJ456" i="1"/>
  <c r="AH456" i="1"/>
  <c r="AG456" i="1"/>
  <c r="AF456" i="1"/>
  <c r="AD456" i="1"/>
  <c r="V456" i="1"/>
  <c r="T456" i="1"/>
  <c r="R456" i="1"/>
  <c r="P456" i="1"/>
  <c r="DC455" i="1"/>
  <c r="AY455" i="1"/>
  <c r="AW455" i="1"/>
  <c r="AU455" i="1"/>
  <c r="AS455" i="1"/>
  <c r="AQ455" i="1"/>
  <c r="AO455" i="1"/>
  <c r="AI455" i="1"/>
  <c r="AE455" i="1"/>
  <c r="AC455" i="1"/>
  <c r="AB455" i="1"/>
  <c r="DR455" i="1" s="1"/>
  <c r="DV455" i="1" s="1"/>
  <c r="W455" i="1"/>
  <c r="U455" i="1"/>
  <c r="Q455" i="1"/>
  <c r="DR454" i="1"/>
  <c r="DV454" i="1" s="1"/>
  <c r="DC454" i="1"/>
  <c r="AY454" i="1"/>
  <c r="AW454" i="1"/>
  <c r="AU454" i="1"/>
  <c r="AS454" i="1"/>
  <c r="AQ454" i="1"/>
  <c r="AO454" i="1"/>
  <c r="AI454" i="1"/>
  <c r="AE454" i="1"/>
  <c r="AC454" i="1"/>
  <c r="AB454" i="1"/>
  <c r="W454" i="1"/>
  <c r="DS454" i="1" s="1"/>
  <c r="DW454" i="1" s="1"/>
  <c r="U454" i="1"/>
  <c r="Q454" i="1"/>
  <c r="DC453" i="1"/>
  <c r="AY453" i="1"/>
  <c r="AW453" i="1"/>
  <c r="AU453" i="1"/>
  <c r="AS453" i="1"/>
  <c r="AQ453" i="1"/>
  <c r="AO453" i="1"/>
  <c r="AI453" i="1"/>
  <c r="AE453" i="1"/>
  <c r="AC453" i="1"/>
  <c r="AB453" i="1"/>
  <c r="DR453" i="1" s="1"/>
  <c r="DV453" i="1" s="1"/>
  <c r="W453" i="1"/>
  <c r="U453" i="1"/>
  <c r="Q453" i="1"/>
  <c r="DR452" i="1"/>
  <c r="DV452" i="1" s="1"/>
  <c r="DC452" i="1"/>
  <c r="AY452" i="1"/>
  <c r="AW452" i="1"/>
  <c r="AU452" i="1"/>
  <c r="AS452" i="1"/>
  <c r="AQ452" i="1"/>
  <c r="AO452" i="1"/>
  <c r="AI452" i="1"/>
  <c r="AE452" i="1"/>
  <c r="AC452" i="1"/>
  <c r="AB452" i="1"/>
  <c r="W452" i="1"/>
  <c r="DS452" i="1" s="1"/>
  <c r="DW452" i="1" s="1"/>
  <c r="U452" i="1"/>
  <c r="Q452" i="1"/>
  <c r="DC451" i="1"/>
  <c r="AY451" i="1"/>
  <c r="AW451" i="1"/>
  <c r="AU451" i="1"/>
  <c r="AS451" i="1"/>
  <c r="AQ451" i="1"/>
  <c r="AO451" i="1"/>
  <c r="AI451" i="1"/>
  <c r="AE451" i="1"/>
  <c r="AC451" i="1"/>
  <c r="AB451" i="1"/>
  <c r="DR451" i="1" s="1"/>
  <c r="DV451" i="1" s="1"/>
  <c r="W451" i="1"/>
  <c r="U451" i="1"/>
  <c r="Q451" i="1"/>
  <c r="DR450" i="1"/>
  <c r="DV450" i="1" s="1"/>
  <c r="DC450" i="1"/>
  <c r="AY450" i="1"/>
  <c r="AW450" i="1"/>
  <c r="AU450" i="1"/>
  <c r="AS450" i="1"/>
  <c r="AQ450" i="1"/>
  <c r="AO450" i="1"/>
  <c r="AI450" i="1"/>
  <c r="AE450" i="1"/>
  <c r="AC450" i="1"/>
  <c r="AB450" i="1"/>
  <c r="W450" i="1"/>
  <c r="DS450" i="1" s="1"/>
  <c r="DW450" i="1" s="1"/>
  <c r="U450" i="1"/>
  <c r="Q450" i="1"/>
  <c r="DC449" i="1"/>
  <c r="AY449" i="1"/>
  <c r="AW449" i="1"/>
  <c r="AU449" i="1"/>
  <c r="AS449" i="1"/>
  <c r="AQ449" i="1"/>
  <c r="AO449" i="1"/>
  <c r="AI449" i="1"/>
  <c r="AE449" i="1"/>
  <c r="AC449" i="1"/>
  <c r="AB449" i="1"/>
  <c r="DR449" i="1" s="1"/>
  <c r="DV449" i="1" s="1"/>
  <c r="W449" i="1"/>
  <c r="U449" i="1"/>
  <c r="Q449" i="1"/>
  <c r="DR448" i="1"/>
  <c r="DV448" i="1" s="1"/>
  <c r="DC448" i="1"/>
  <c r="AY448" i="1"/>
  <c r="AW448" i="1"/>
  <c r="AU448" i="1"/>
  <c r="AS448" i="1"/>
  <c r="AQ448" i="1"/>
  <c r="AO448" i="1"/>
  <c r="AI448" i="1"/>
  <c r="AE448" i="1"/>
  <c r="AC448" i="1"/>
  <c r="AB448" i="1"/>
  <c r="W448" i="1"/>
  <c r="DS448" i="1" s="1"/>
  <c r="DW448" i="1" s="1"/>
  <c r="U448" i="1"/>
  <c r="Q448" i="1"/>
  <c r="DC447" i="1"/>
  <c r="AY447" i="1"/>
  <c r="AW447" i="1"/>
  <c r="AU447" i="1"/>
  <c r="AS447" i="1"/>
  <c r="AQ447" i="1"/>
  <c r="AO447" i="1"/>
  <c r="AI447" i="1"/>
  <c r="AE447" i="1"/>
  <c r="AC447" i="1"/>
  <c r="AB447" i="1"/>
  <c r="DR447" i="1" s="1"/>
  <c r="DV447" i="1" s="1"/>
  <c r="W447" i="1"/>
  <c r="U447" i="1"/>
  <c r="Q447" i="1"/>
  <c r="DR446" i="1"/>
  <c r="DV446" i="1" s="1"/>
  <c r="DC446" i="1"/>
  <c r="AY446" i="1"/>
  <c r="AW446" i="1"/>
  <c r="AU446" i="1"/>
  <c r="AS446" i="1"/>
  <c r="AQ446" i="1"/>
  <c r="AO446" i="1"/>
  <c r="AI446" i="1"/>
  <c r="AE446" i="1"/>
  <c r="AC446" i="1"/>
  <c r="AB446" i="1"/>
  <c r="W446" i="1"/>
  <c r="DS446" i="1" s="1"/>
  <c r="DW446" i="1" s="1"/>
  <c r="U446" i="1"/>
  <c r="Q446" i="1"/>
  <c r="DR445" i="1"/>
  <c r="DV445" i="1" s="1"/>
  <c r="DC445" i="1"/>
  <c r="AY445" i="1"/>
  <c r="AW445" i="1"/>
  <c r="AU445" i="1"/>
  <c r="AS445" i="1"/>
  <c r="AQ445" i="1"/>
  <c r="AO445" i="1"/>
  <c r="AI445" i="1"/>
  <c r="AE445" i="1"/>
  <c r="AC445" i="1"/>
  <c r="AB445" i="1"/>
  <c r="W445" i="1"/>
  <c r="U445" i="1"/>
  <c r="Q445" i="1"/>
  <c r="DR444" i="1"/>
  <c r="DV444" i="1" s="1"/>
  <c r="DC444" i="1"/>
  <c r="AY444" i="1"/>
  <c r="AW444" i="1"/>
  <c r="AU444" i="1"/>
  <c r="AS444" i="1"/>
  <c r="AQ444" i="1"/>
  <c r="AO444" i="1"/>
  <c r="AI444" i="1"/>
  <c r="AE444" i="1"/>
  <c r="AC444" i="1"/>
  <c r="AB444" i="1"/>
  <c r="W444" i="1"/>
  <c r="DS444" i="1" s="1"/>
  <c r="DW444" i="1" s="1"/>
  <c r="U444" i="1"/>
  <c r="Q444" i="1"/>
  <c r="DR443" i="1"/>
  <c r="DV443" i="1" s="1"/>
  <c r="DC443" i="1"/>
  <c r="AY443" i="1"/>
  <c r="AW443" i="1"/>
  <c r="AU443" i="1"/>
  <c r="AS443" i="1"/>
  <c r="AQ443" i="1"/>
  <c r="AO443" i="1"/>
  <c r="AI443" i="1"/>
  <c r="AE443" i="1"/>
  <c r="AC443" i="1"/>
  <c r="AB443" i="1"/>
  <c r="W443" i="1"/>
  <c r="U443" i="1"/>
  <c r="Q443" i="1"/>
  <c r="DR442" i="1"/>
  <c r="DV442" i="1" s="1"/>
  <c r="DC442" i="1"/>
  <c r="AY442" i="1"/>
  <c r="AW442" i="1"/>
  <c r="AU442" i="1"/>
  <c r="AS442" i="1"/>
  <c r="AQ442" i="1"/>
  <c r="AO442" i="1"/>
  <c r="AI442" i="1"/>
  <c r="AE442" i="1"/>
  <c r="AC442" i="1"/>
  <c r="AB442" i="1"/>
  <c r="W442" i="1"/>
  <c r="DS442" i="1" s="1"/>
  <c r="DW442" i="1" s="1"/>
  <c r="U442" i="1"/>
  <c r="Q442" i="1"/>
  <c r="DC441" i="1"/>
  <c r="AY441" i="1"/>
  <c r="AW441" i="1"/>
  <c r="AU441" i="1"/>
  <c r="AS441" i="1"/>
  <c r="AQ441" i="1"/>
  <c r="AO441" i="1"/>
  <c r="AI441" i="1"/>
  <c r="AE441" i="1"/>
  <c r="AC441" i="1"/>
  <c r="AB441" i="1"/>
  <c r="DR441" i="1" s="1"/>
  <c r="DV441" i="1" s="1"/>
  <c r="W441" i="1"/>
  <c r="U441" i="1"/>
  <c r="Q441" i="1"/>
  <c r="DC440" i="1"/>
  <c r="AY440" i="1"/>
  <c r="AW440" i="1"/>
  <c r="AU440" i="1"/>
  <c r="AS440" i="1"/>
  <c r="AQ440" i="1"/>
  <c r="AO440" i="1"/>
  <c r="AI440" i="1"/>
  <c r="AE440" i="1"/>
  <c r="AC440" i="1"/>
  <c r="AB440" i="1"/>
  <c r="DR440" i="1" s="1"/>
  <c r="DV440" i="1" s="1"/>
  <c r="W440" i="1"/>
  <c r="U440" i="1"/>
  <c r="Q440" i="1"/>
  <c r="DC439" i="1"/>
  <c r="CS439" i="1"/>
  <c r="AY439" i="1"/>
  <c r="AW439" i="1"/>
  <c r="AU439" i="1"/>
  <c r="AS439" i="1"/>
  <c r="AQ439" i="1"/>
  <c r="AO439" i="1"/>
  <c r="AI439" i="1"/>
  <c r="AE439" i="1"/>
  <c r="AC439" i="1"/>
  <c r="AB439" i="1"/>
  <c r="DR439" i="1" s="1"/>
  <c r="DV439" i="1" s="1"/>
  <c r="W439" i="1"/>
  <c r="U439" i="1"/>
  <c r="Q439" i="1"/>
  <c r="DO438" i="1"/>
  <c r="DC438" i="1"/>
  <c r="CS438" i="1"/>
  <c r="CC438" i="1"/>
  <c r="AY438" i="1"/>
  <c r="AW438" i="1"/>
  <c r="AU438" i="1"/>
  <c r="AS438" i="1"/>
  <c r="AQ438" i="1"/>
  <c r="AO438" i="1"/>
  <c r="AI438" i="1"/>
  <c r="AE438" i="1"/>
  <c r="AC438" i="1"/>
  <c r="AB438" i="1"/>
  <c r="DR438" i="1" s="1"/>
  <c r="DV438" i="1" s="1"/>
  <c r="W438" i="1"/>
  <c r="U438" i="1"/>
  <c r="Q438" i="1"/>
  <c r="DR437" i="1"/>
  <c r="DV437" i="1" s="1"/>
  <c r="DO437" i="1"/>
  <c r="DC437" i="1"/>
  <c r="CS437" i="1"/>
  <c r="CE437" i="1"/>
  <c r="CC437" i="1"/>
  <c r="AY437" i="1"/>
  <c r="AW437" i="1"/>
  <c r="AU437" i="1"/>
  <c r="AS437" i="1"/>
  <c r="AQ437" i="1"/>
  <c r="AO437" i="1"/>
  <c r="AI437" i="1"/>
  <c r="AE437" i="1"/>
  <c r="AC437" i="1"/>
  <c r="AB437" i="1"/>
  <c r="W437" i="1"/>
  <c r="U437" i="1"/>
  <c r="Q437" i="1"/>
  <c r="DV436" i="1"/>
  <c r="DO436" i="1"/>
  <c r="DC436" i="1"/>
  <c r="CS436" i="1"/>
  <c r="CC436" i="1"/>
  <c r="AY436" i="1"/>
  <c r="AW436" i="1"/>
  <c r="AU436" i="1"/>
  <c r="AS436" i="1"/>
  <c r="AQ436" i="1"/>
  <c r="AO436" i="1"/>
  <c r="AI436" i="1"/>
  <c r="AE436" i="1"/>
  <c r="AC436" i="1"/>
  <c r="AB436" i="1"/>
  <c r="DR436" i="1" s="1"/>
  <c r="W436" i="1"/>
  <c r="U436" i="1"/>
  <c r="Q436" i="1"/>
  <c r="DV435" i="1"/>
  <c r="AY435" i="1"/>
  <c r="AW435" i="1"/>
  <c r="AU435" i="1"/>
  <c r="AS435" i="1"/>
  <c r="AQ435" i="1"/>
  <c r="AO435" i="1"/>
  <c r="AI435" i="1"/>
  <c r="AE435" i="1"/>
  <c r="AC435" i="1"/>
  <c r="AB435" i="1"/>
  <c r="DR435" i="1" s="1"/>
  <c r="W435" i="1"/>
  <c r="Q435" i="1"/>
  <c r="DK434" i="1"/>
  <c r="AY434" i="1"/>
  <c r="AW434" i="1"/>
  <c r="AU434" i="1"/>
  <c r="AS434" i="1"/>
  <c r="AQ434" i="1"/>
  <c r="AO434" i="1"/>
  <c r="AI434" i="1"/>
  <c r="AE434" i="1"/>
  <c r="AC434" i="1"/>
  <c r="AB434" i="1"/>
  <c r="DR434" i="1" s="1"/>
  <c r="DV434" i="1" s="1"/>
  <c r="W434" i="1"/>
  <c r="U434" i="1"/>
  <c r="S434" i="1"/>
  <c r="Q434" i="1"/>
  <c r="DK433" i="1"/>
  <c r="CC433" i="1"/>
  <c r="AY433" i="1"/>
  <c r="AW433" i="1"/>
  <c r="AU433" i="1"/>
  <c r="AS433" i="1"/>
  <c r="DS433" i="1" s="1"/>
  <c r="DW433" i="1" s="1"/>
  <c r="AQ433" i="1"/>
  <c r="AO433" i="1"/>
  <c r="AI433" i="1"/>
  <c r="AE433" i="1"/>
  <c r="AC433" i="1"/>
  <c r="AB433" i="1"/>
  <c r="DR433" i="1" s="1"/>
  <c r="DV433" i="1" s="1"/>
  <c r="W433" i="1"/>
  <c r="U433" i="1"/>
  <c r="S433" i="1"/>
  <c r="Q433" i="1"/>
  <c r="DE432" i="1"/>
  <c r="AY432" i="1"/>
  <c r="AW432" i="1"/>
  <c r="AU432" i="1"/>
  <c r="AS432" i="1"/>
  <c r="AQ432" i="1"/>
  <c r="AO432" i="1"/>
  <c r="AI432" i="1"/>
  <c r="AE432" i="1"/>
  <c r="AC432" i="1"/>
  <c r="AB432" i="1"/>
  <c r="DR432" i="1" s="1"/>
  <c r="DV432" i="1" s="1"/>
  <c r="W432" i="1"/>
  <c r="Q432" i="1"/>
  <c r="DV431" i="1"/>
  <c r="DR431" i="1"/>
  <c r="AC431" i="1"/>
  <c r="AB431" i="1"/>
  <c r="U431" i="1"/>
  <c r="S431" i="1"/>
  <c r="Q431" i="1"/>
  <c r="AC430" i="1"/>
  <c r="AB430" i="1"/>
  <c r="DR430" i="1" s="1"/>
  <c r="DV430" i="1" s="1"/>
  <c r="S430" i="1"/>
  <c r="Q430" i="1"/>
  <c r="DS430" i="1" s="1"/>
  <c r="DW430" i="1" s="1"/>
  <c r="DS429" i="1"/>
  <c r="DW429" i="1" s="1"/>
  <c r="AC429" i="1"/>
  <c r="AB429" i="1"/>
  <c r="DR429" i="1" s="1"/>
  <c r="DV429" i="1" s="1"/>
  <c r="S429" i="1"/>
  <c r="Q429" i="1"/>
  <c r="DO428" i="1"/>
  <c r="DM428" i="1"/>
  <c r="DK428" i="1"/>
  <c r="DI428" i="1"/>
  <c r="DG428" i="1"/>
  <c r="DC428" i="1"/>
  <c r="CY428" i="1"/>
  <c r="CU428" i="1"/>
  <c r="CS428" i="1"/>
  <c r="CQ428" i="1"/>
  <c r="CO428" i="1"/>
  <c r="CM428" i="1"/>
  <c r="CI428" i="1"/>
  <c r="CG428" i="1"/>
  <c r="CE428" i="1"/>
  <c r="CC428" i="1"/>
  <c r="CA428" i="1"/>
  <c r="BY428" i="1"/>
  <c r="BW428" i="1"/>
  <c r="BU428" i="1"/>
  <c r="BS428" i="1"/>
  <c r="BQ428" i="1"/>
  <c r="BO428" i="1"/>
  <c r="BM428" i="1"/>
  <c r="BK428" i="1"/>
  <c r="BI428" i="1"/>
  <c r="BG428" i="1"/>
  <c r="BE428" i="1"/>
  <c r="BC428" i="1"/>
  <c r="BA428" i="1"/>
  <c r="AY428" i="1"/>
  <c r="AU428" i="1"/>
  <c r="AS428" i="1"/>
  <c r="AQ428" i="1"/>
  <c r="AO428" i="1"/>
  <c r="AI428" i="1"/>
  <c r="AE428" i="1"/>
  <c r="AC428" i="1"/>
  <c r="AB428" i="1"/>
  <c r="DR428" i="1" s="1"/>
  <c r="DV428" i="1" s="1"/>
  <c r="W428" i="1"/>
  <c r="U428" i="1"/>
  <c r="S428" i="1"/>
  <c r="Q428" i="1"/>
  <c r="DR427" i="1"/>
  <c r="DV427" i="1" s="1"/>
  <c r="AY427" i="1"/>
  <c r="AW427" i="1"/>
  <c r="AU427" i="1"/>
  <c r="AS427" i="1"/>
  <c r="AQ427" i="1"/>
  <c r="AO427" i="1"/>
  <c r="AI427" i="1"/>
  <c r="AE427" i="1"/>
  <c r="AC427" i="1"/>
  <c r="AB427" i="1"/>
  <c r="W427" i="1"/>
  <c r="Q427" i="1"/>
  <c r="DO426" i="1"/>
  <c r="DM426" i="1"/>
  <c r="DK426" i="1"/>
  <c r="DI426" i="1"/>
  <c r="DE426" i="1"/>
  <c r="DC426" i="1"/>
  <c r="CY426" i="1"/>
  <c r="CU426" i="1"/>
  <c r="CS426" i="1"/>
  <c r="CQ426" i="1"/>
  <c r="CO426" i="1"/>
  <c r="CM426" i="1"/>
  <c r="CI426" i="1"/>
  <c r="CG426" i="1"/>
  <c r="CE426" i="1"/>
  <c r="CC426" i="1"/>
  <c r="CA426" i="1"/>
  <c r="BY426" i="1"/>
  <c r="BW426" i="1"/>
  <c r="BU426" i="1"/>
  <c r="BS426" i="1"/>
  <c r="BQ426" i="1"/>
  <c r="BO426" i="1"/>
  <c r="BM426" i="1"/>
  <c r="BI426" i="1"/>
  <c r="BG426" i="1"/>
  <c r="BE426" i="1"/>
  <c r="BC426" i="1"/>
  <c r="BA426" i="1"/>
  <c r="AY426" i="1"/>
  <c r="AW426" i="1"/>
  <c r="AU426" i="1"/>
  <c r="AS426" i="1"/>
  <c r="AQ426" i="1"/>
  <c r="AO426" i="1"/>
  <c r="AI426" i="1"/>
  <c r="AE426" i="1"/>
  <c r="AC426" i="1"/>
  <c r="AB426" i="1"/>
  <c r="DR426" i="1" s="1"/>
  <c r="DV426" i="1" s="1"/>
  <c r="W426" i="1"/>
  <c r="U426" i="1"/>
  <c r="S426" i="1"/>
  <c r="Q426" i="1"/>
  <c r="DO425" i="1"/>
  <c r="DM425" i="1"/>
  <c r="DK425" i="1"/>
  <c r="DI425" i="1"/>
  <c r="DE425" i="1"/>
  <c r="DC425" i="1"/>
  <c r="CY425" i="1"/>
  <c r="CU425" i="1"/>
  <c r="CS425" i="1"/>
  <c r="CQ425" i="1"/>
  <c r="CO425" i="1"/>
  <c r="CM425" i="1"/>
  <c r="CI425" i="1"/>
  <c r="CG425" i="1"/>
  <c r="CE425" i="1"/>
  <c r="CC425" i="1"/>
  <c r="CA425" i="1"/>
  <c r="BY425" i="1"/>
  <c r="BW425" i="1"/>
  <c r="BU425" i="1"/>
  <c r="BS425" i="1"/>
  <c r="BQ425" i="1"/>
  <c r="BO425" i="1"/>
  <c r="BM425" i="1"/>
  <c r="BI425" i="1"/>
  <c r="BG425" i="1"/>
  <c r="BE425" i="1"/>
  <c r="BC425" i="1"/>
  <c r="BA425" i="1"/>
  <c r="AY425" i="1"/>
  <c r="AW425" i="1"/>
  <c r="AU425" i="1"/>
  <c r="AS425" i="1"/>
  <c r="AQ425" i="1"/>
  <c r="AO425" i="1"/>
  <c r="AI425" i="1"/>
  <c r="AE425" i="1"/>
  <c r="AC425" i="1"/>
  <c r="AB425" i="1"/>
  <c r="DR425" i="1" s="1"/>
  <c r="DV425" i="1" s="1"/>
  <c r="W425" i="1"/>
  <c r="U425" i="1"/>
  <c r="S425" i="1"/>
  <c r="Q425" i="1"/>
  <c r="DO424" i="1"/>
  <c r="DM424" i="1"/>
  <c r="DK424" i="1"/>
  <c r="DI424" i="1"/>
  <c r="DG424" i="1"/>
  <c r="DC424" i="1"/>
  <c r="CY424" i="1"/>
  <c r="CU424" i="1"/>
  <c r="CS424" i="1"/>
  <c r="CQ424" i="1"/>
  <c r="CO424" i="1"/>
  <c r="CM424" i="1"/>
  <c r="CI424" i="1"/>
  <c r="CG424" i="1"/>
  <c r="CE424" i="1"/>
  <c r="CC424" i="1"/>
  <c r="CA424" i="1"/>
  <c r="BY424" i="1"/>
  <c r="BW424" i="1"/>
  <c r="BU424" i="1"/>
  <c r="BS424" i="1"/>
  <c r="BQ424" i="1"/>
  <c r="BO424" i="1"/>
  <c r="BM424" i="1"/>
  <c r="BK424" i="1"/>
  <c r="BI424" i="1"/>
  <c r="BG424" i="1"/>
  <c r="BE424" i="1"/>
  <c r="BC424" i="1"/>
  <c r="BA424" i="1"/>
  <c r="AY424" i="1"/>
  <c r="AW424" i="1"/>
  <c r="AU424" i="1"/>
  <c r="AS424" i="1"/>
  <c r="AQ424" i="1"/>
  <c r="AO424" i="1"/>
  <c r="AI424" i="1"/>
  <c r="AE424" i="1"/>
  <c r="AC424" i="1"/>
  <c r="AB424" i="1"/>
  <c r="DR424" i="1" s="1"/>
  <c r="DV424" i="1" s="1"/>
  <c r="W424" i="1"/>
  <c r="U424" i="1"/>
  <c r="S424" i="1"/>
  <c r="Q424" i="1"/>
  <c r="DS424" i="1" s="1"/>
  <c r="DW424" i="1" s="1"/>
  <c r="DO423" i="1"/>
  <c r="DM423" i="1"/>
  <c r="DK423" i="1"/>
  <c r="DI423" i="1"/>
  <c r="DE423" i="1"/>
  <c r="DC423" i="1"/>
  <c r="CY423" i="1"/>
  <c r="CU423" i="1"/>
  <c r="CS423" i="1"/>
  <c r="CQ423" i="1"/>
  <c r="CO423" i="1"/>
  <c r="CM423" i="1"/>
  <c r="CI423" i="1"/>
  <c r="CG423" i="1"/>
  <c r="CE423" i="1"/>
  <c r="CC423" i="1"/>
  <c r="CA423" i="1"/>
  <c r="BY423" i="1"/>
  <c r="BW423" i="1"/>
  <c r="BU423" i="1"/>
  <c r="BS423" i="1"/>
  <c r="BQ423" i="1"/>
  <c r="BO423" i="1"/>
  <c r="BM423" i="1"/>
  <c r="BI423" i="1"/>
  <c r="BG423" i="1"/>
  <c r="BE423" i="1"/>
  <c r="BC423" i="1"/>
  <c r="BA423" i="1"/>
  <c r="AY423" i="1"/>
  <c r="AW423" i="1"/>
  <c r="AU423" i="1"/>
  <c r="AS423" i="1"/>
  <c r="AQ423" i="1"/>
  <c r="AO423" i="1"/>
  <c r="AI423" i="1"/>
  <c r="AE423" i="1"/>
  <c r="AC423" i="1"/>
  <c r="AB423" i="1"/>
  <c r="DR423" i="1" s="1"/>
  <c r="DV423" i="1" s="1"/>
  <c r="W423" i="1"/>
  <c r="U423" i="1"/>
  <c r="S423" i="1"/>
  <c r="Q423" i="1"/>
  <c r="DO422" i="1"/>
  <c r="DM422" i="1"/>
  <c r="DK422" i="1"/>
  <c r="DI422" i="1"/>
  <c r="DG422" i="1"/>
  <c r="DC422" i="1"/>
  <c r="CY422" i="1"/>
  <c r="CU422" i="1"/>
  <c r="CS422" i="1"/>
  <c r="CQ422" i="1"/>
  <c r="CO422" i="1"/>
  <c r="CM422" i="1"/>
  <c r="CI422" i="1"/>
  <c r="CG422" i="1"/>
  <c r="CE422" i="1"/>
  <c r="CC422" i="1"/>
  <c r="CA422" i="1"/>
  <c r="BY422" i="1"/>
  <c r="BW422" i="1"/>
  <c r="BU422" i="1"/>
  <c r="BS422" i="1"/>
  <c r="BQ422" i="1"/>
  <c r="BO422" i="1"/>
  <c r="BM422" i="1"/>
  <c r="BK422" i="1"/>
  <c r="BI422" i="1"/>
  <c r="BG422" i="1"/>
  <c r="BE422" i="1"/>
  <c r="BC422" i="1"/>
  <c r="BA422" i="1"/>
  <c r="AY422" i="1"/>
  <c r="AW422" i="1"/>
  <c r="AU422" i="1"/>
  <c r="AS422" i="1"/>
  <c r="AQ422" i="1"/>
  <c r="AO422" i="1"/>
  <c r="AI422" i="1"/>
  <c r="AE422" i="1"/>
  <c r="AC422" i="1"/>
  <c r="AB422" i="1"/>
  <c r="DR422" i="1" s="1"/>
  <c r="DV422" i="1" s="1"/>
  <c r="W422" i="1"/>
  <c r="U422" i="1"/>
  <c r="S422" i="1"/>
  <c r="Q422" i="1"/>
  <c r="DO421" i="1"/>
  <c r="DM421" i="1"/>
  <c r="DK421" i="1"/>
  <c r="DI421" i="1"/>
  <c r="DG421" i="1"/>
  <c r="DC421" i="1"/>
  <c r="CY421" i="1"/>
  <c r="CU421" i="1"/>
  <c r="CS421" i="1"/>
  <c r="CQ421" i="1"/>
  <c r="CO421" i="1"/>
  <c r="CM421" i="1"/>
  <c r="CI421" i="1"/>
  <c r="CG421" i="1"/>
  <c r="CE421" i="1"/>
  <c r="CC421" i="1"/>
  <c r="CA421" i="1"/>
  <c r="BY421" i="1"/>
  <c r="BW421" i="1"/>
  <c r="BU421" i="1"/>
  <c r="BS421" i="1"/>
  <c r="BQ421" i="1"/>
  <c r="BO421" i="1"/>
  <c r="BM421" i="1"/>
  <c r="BK421" i="1"/>
  <c r="BI421" i="1"/>
  <c r="BG421" i="1"/>
  <c r="BE421" i="1"/>
  <c r="BC421" i="1"/>
  <c r="BA421" i="1"/>
  <c r="AY421" i="1"/>
  <c r="AW421" i="1"/>
  <c r="AU421" i="1"/>
  <c r="AS421" i="1"/>
  <c r="AQ421" i="1"/>
  <c r="AO421" i="1"/>
  <c r="AI421" i="1"/>
  <c r="AE421" i="1"/>
  <c r="AC421" i="1"/>
  <c r="AB421" i="1"/>
  <c r="DR421" i="1" s="1"/>
  <c r="DV421" i="1" s="1"/>
  <c r="W421" i="1"/>
  <c r="U421" i="1"/>
  <c r="S421" i="1"/>
  <c r="Q421" i="1"/>
  <c r="DK420" i="1"/>
  <c r="CC420" i="1"/>
  <c r="AY420" i="1"/>
  <c r="AW420" i="1"/>
  <c r="AU420" i="1"/>
  <c r="AS420" i="1"/>
  <c r="AQ420" i="1"/>
  <c r="AO420" i="1"/>
  <c r="AI420" i="1"/>
  <c r="AE420" i="1"/>
  <c r="AC420" i="1"/>
  <c r="AB420" i="1"/>
  <c r="DR420" i="1" s="1"/>
  <c r="DV420" i="1" s="1"/>
  <c r="W420" i="1"/>
  <c r="U420" i="1"/>
  <c r="S420" i="1"/>
  <c r="Q420" i="1"/>
  <c r="DK419" i="1"/>
  <c r="CC419" i="1"/>
  <c r="AY419" i="1"/>
  <c r="AW419" i="1"/>
  <c r="AU419" i="1"/>
  <c r="AS419" i="1"/>
  <c r="AQ419" i="1"/>
  <c r="AO419" i="1"/>
  <c r="AI419" i="1"/>
  <c r="AE419" i="1"/>
  <c r="AC419" i="1"/>
  <c r="AB419" i="1"/>
  <c r="DR419" i="1" s="1"/>
  <c r="DV419" i="1" s="1"/>
  <c r="W419" i="1"/>
  <c r="U419" i="1"/>
  <c r="S419" i="1"/>
  <c r="Q419" i="1"/>
  <c r="DK418" i="1"/>
  <c r="CC418" i="1"/>
  <c r="AY418" i="1"/>
  <c r="AW418" i="1"/>
  <c r="AU418" i="1"/>
  <c r="AS418" i="1"/>
  <c r="AQ418" i="1"/>
  <c r="AO418" i="1"/>
  <c r="AI418" i="1"/>
  <c r="AE418" i="1"/>
  <c r="AC418" i="1"/>
  <c r="AB418" i="1"/>
  <c r="W418" i="1"/>
  <c r="U418" i="1"/>
  <c r="S418" i="1"/>
  <c r="Q418" i="1"/>
  <c r="DK417" i="1"/>
  <c r="CC417" i="1"/>
  <c r="AY417" i="1"/>
  <c r="AW417" i="1"/>
  <c r="AU417" i="1"/>
  <c r="AS417" i="1"/>
  <c r="AQ417" i="1"/>
  <c r="AO417" i="1"/>
  <c r="AI417" i="1"/>
  <c r="AE417" i="1"/>
  <c r="AC417" i="1"/>
  <c r="AB417" i="1"/>
  <c r="DR417" i="1" s="1"/>
  <c r="DV417" i="1" s="1"/>
  <c r="W417" i="1"/>
  <c r="U417" i="1"/>
  <c r="S417" i="1"/>
  <c r="Q417" i="1"/>
  <c r="DO416" i="1"/>
  <c r="DN416" i="1"/>
  <c r="DN413" i="1" s="1"/>
  <c r="DM416" i="1"/>
  <c r="DK416" i="1"/>
  <c r="DI416" i="1"/>
  <c r="DG416" i="1"/>
  <c r="DC416" i="1"/>
  <c r="DC413" i="1" s="1"/>
  <c r="CY416" i="1"/>
  <c r="CU416" i="1"/>
  <c r="CS416" i="1"/>
  <c r="CQ416" i="1"/>
  <c r="CO416" i="1"/>
  <c r="CM416" i="1"/>
  <c r="CI416" i="1"/>
  <c r="CG416" i="1"/>
  <c r="CE416" i="1"/>
  <c r="CC416" i="1"/>
  <c r="CA416" i="1"/>
  <c r="BY416" i="1"/>
  <c r="BY413" i="1" s="1"/>
  <c r="BW416" i="1"/>
  <c r="BU416" i="1"/>
  <c r="BS416" i="1"/>
  <c r="BQ416" i="1"/>
  <c r="BO416" i="1"/>
  <c r="BM416" i="1"/>
  <c r="BM413" i="1" s="1"/>
  <c r="BK416" i="1"/>
  <c r="BI416" i="1"/>
  <c r="BG416" i="1"/>
  <c r="BE416" i="1"/>
  <c r="BC416" i="1"/>
  <c r="BA416" i="1"/>
  <c r="AY416" i="1"/>
  <c r="AW416" i="1"/>
  <c r="AT416" i="1"/>
  <c r="AU416" i="1" s="1"/>
  <c r="AS416" i="1"/>
  <c r="AQ416" i="1"/>
  <c r="AO416" i="1"/>
  <c r="AI416" i="1"/>
  <c r="AE416" i="1"/>
  <c r="AC416" i="1"/>
  <c r="AB416" i="1"/>
  <c r="W416" i="1"/>
  <c r="U416" i="1"/>
  <c r="U413" i="1" s="1"/>
  <c r="S416" i="1"/>
  <c r="Q416" i="1"/>
  <c r="DO415" i="1"/>
  <c r="DM415" i="1"/>
  <c r="DK415" i="1"/>
  <c r="DI415" i="1"/>
  <c r="DG415" i="1"/>
  <c r="DC415" i="1"/>
  <c r="CY415" i="1"/>
  <c r="CU415" i="1"/>
  <c r="CS415" i="1"/>
  <c r="CQ415" i="1"/>
  <c r="CO415" i="1"/>
  <c r="CM415" i="1"/>
  <c r="CI415" i="1"/>
  <c r="CG415" i="1"/>
  <c r="CE415" i="1"/>
  <c r="CC415" i="1"/>
  <c r="CA415" i="1"/>
  <c r="BY415" i="1"/>
  <c r="BW415" i="1"/>
  <c r="BU415" i="1"/>
  <c r="BS415" i="1"/>
  <c r="BQ415" i="1"/>
  <c r="BO415" i="1"/>
  <c r="BO413" i="1" s="1"/>
  <c r="BM415" i="1"/>
  <c r="BK415" i="1"/>
  <c r="BI415" i="1"/>
  <c r="BG415" i="1"/>
  <c r="BE415" i="1"/>
  <c r="BC415" i="1"/>
  <c r="BA415" i="1"/>
  <c r="AY415" i="1"/>
  <c r="AW415" i="1"/>
  <c r="AU415" i="1"/>
  <c r="AS415" i="1"/>
  <c r="AQ415" i="1"/>
  <c r="AO415" i="1"/>
  <c r="AI415" i="1"/>
  <c r="AE415" i="1"/>
  <c r="AC415" i="1"/>
  <c r="AB415" i="1"/>
  <c r="DR415" i="1" s="1"/>
  <c r="DV415" i="1" s="1"/>
  <c r="W415" i="1"/>
  <c r="U415" i="1"/>
  <c r="S415" i="1"/>
  <c r="Q415" i="1"/>
  <c r="DO414" i="1"/>
  <c r="DM414" i="1"/>
  <c r="DK414" i="1"/>
  <c r="DI414" i="1"/>
  <c r="DE414" i="1"/>
  <c r="DC414" i="1"/>
  <c r="CY414" i="1"/>
  <c r="CU414" i="1"/>
  <c r="CS414" i="1"/>
  <c r="CS413" i="1" s="1"/>
  <c r="CQ414" i="1"/>
  <c r="CO414" i="1"/>
  <c r="CM414" i="1"/>
  <c r="CI414" i="1"/>
  <c r="CG414" i="1"/>
  <c r="CE414" i="1"/>
  <c r="CC414" i="1"/>
  <c r="CA414" i="1"/>
  <c r="CA413" i="1" s="1"/>
  <c r="BY414" i="1"/>
  <c r="BW414" i="1"/>
  <c r="BU414" i="1"/>
  <c r="BS414" i="1"/>
  <c r="BQ414" i="1"/>
  <c r="BO414" i="1"/>
  <c r="BM414" i="1"/>
  <c r="BI414" i="1"/>
  <c r="BG414" i="1"/>
  <c r="BG413" i="1" s="1"/>
  <c r="BE414" i="1"/>
  <c r="BC414" i="1"/>
  <c r="BA414" i="1"/>
  <c r="AY414" i="1"/>
  <c r="AW414" i="1"/>
  <c r="AU414" i="1"/>
  <c r="AS414" i="1"/>
  <c r="AQ414" i="1"/>
  <c r="AO414" i="1"/>
  <c r="AI414" i="1"/>
  <c r="AE414" i="1"/>
  <c r="AC414" i="1"/>
  <c r="AC413" i="1" s="1"/>
  <c r="AB414" i="1"/>
  <c r="DR414" i="1" s="1"/>
  <c r="W414" i="1"/>
  <c r="U414" i="1"/>
  <c r="S414" i="1"/>
  <c r="Q414" i="1"/>
  <c r="DQ413" i="1"/>
  <c r="DP413" i="1"/>
  <c r="DL413" i="1"/>
  <c r="DJ413" i="1"/>
  <c r="DH413" i="1"/>
  <c r="DG413" i="1"/>
  <c r="DF413" i="1"/>
  <c r="DD413" i="1"/>
  <c r="DB413" i="1"/>
  <c r="CZ413" i="1"/>
  <c r="CX413" i="1"/>
  <c r="CV413" i="1"/>
  <c r="CT413" i="1"/>
  <c r="CR413" i="1"/>
  <c r="CP413" i="1"/>
  <c r="CN413" i="1"/>
  <c r="CM413" i="1"/>
  <c r="CL413" i="1"/>
  <c r="CK413" i="1"/>
  <c r="CJ413" i="1"/>
  <c r="CH413" i="1"/>
  <c r="CF413" i="1"/>
  <c r="CD413" i="1"/>
  <c r="CB413" i="1"/>
  <c r="BZ413" i="1"/>
  <c r="BX413" i="1"/>
  <c r="BV413" i="1"/>
  <c r="BT413" i="1"/>
  <c r="BR413" i="1"/>
  <c r="BP413" i="1"/>
  <c r="BN413" i="1"/>
  <c r="BL413" i="1"/>
  <c r="BJ413" i="1"/>
  <c r="BH413" i="1"/>
  <c r="BF413" i="1"/>
  <c r="BD413" i="1"/>
  <c r="BB413" i="1"/>
  <c r="AZ413" i="1"/>
  <c r="AX413" i="1"/>
  <c r="AV413" i="1"/>
  <c r="AT413" i="1"/>
  <c r="AR413" i="1"/>
  <c r="AP413" i="1"/>
  <c r="AN413" i="1"/>
  <c r="AM413" i="1"/>
  <c r="AL413" i="1"/>
  <c r="AK413" i="1"/>
  <c r="AJ413" i="1"/>
  <c r="AH413" i="1"/>
  <c r="AG413" i="1"/>
  <c r="AF413" i="1"/>
  <c r="AD413" i="1"/>
  <c r="V413" i="1"/>
  <c r="T413" i="1"/>
  <c r="R413" i="1"/>
  <c r="P413" i="1"/>
  <c r="DR412" i="1"/>
  <c r="DV412" i="1" s="1"/>
  <c r="DO412" i="1"/>
  <c r="DM412" i="1"/>
  <c r="DK412" i="1"/>
  <c r="DI412" i="1"/>
  <c r="DG412" i="1"/>
  <c r="DC412" i="1"/>
  <c r="CY412" i="1"/>
  <c r="CU412" i="1"/>
  <c r="CS412" i="1"/>
  <c r="CQ412" i="1"/>
  <c r="CO412" i="1"/>
  <c r="CM412" i="1"/>
  <c r="CI412" i="1"/>
  <c r="CG412" i="1"/>
  <c r="CE412" i="1"/>
  <c r="CC412" i="1"/>
  <c r="CA412" i="1"/>
  <c r="BY412" i="1"/>
  <c r="BW412" i="1"/>
  <c r="BU412" i="1"/>
  <c r="BS412" i="1"/>
  <c r="BQ412" i="1"/>
  <c r="BO412" i="1"/>
  <c r="BM412" i="1"/>
  <c r="BK412" i="1"/>
  <c r="BI412" i="1"/>
  <c r="BG412" i="1"/>
  <c r="BE412" i="1"/>
  <c r="BC412" i="1"/>
  <c r="BA412" i="1"/>
  <c r="AY412" i="1"/>
  <c r="AW412" i="1"/>
  <c r="AU412" i="1"/>
  <c r="AS412" i="1"/>
  <c r="AQ412" i="1"/>
  <c r="AO412" i="1"/>
  <c r="AI412" i="1"/>
  <c r="AE412" i="1"/>
  <c r="AC412" i="1"/>
  <c r="AB412" i="1"/>
  <c r="W412" i="1"/>
  <c r="U412" i="1"/>
  <c r="S412" i="1"/>
  <c r="Q412" i="1"/>
  <c r="DO411" i="1"/>
  <c r="DL411" i="1"/>
  <c r="DM411" i="1" s="1"/>
  <c r="DK411" i="1"/>
  <c r="DI411" i="1"/>
  <c r="DG411" i="1"/>
  <c r="DC411" i="1"/>
  <c r="CY411" i="1"/>
  <c r="CU411" i="1"/>
  <c r="CS411" i="1"/>
  <c r="CQ411" i="1"/>
  <c r="CO411" i="1"/>
  <c r="CM411" i="1"/>
  <c r="CI411" i="1"/>
  <c r="CG411" i="1"/>
  <c r="CE411" i="1"/>
  <c r="CC411" i="1"/>
  <c r="CA411" i="1"/>
  <c r="BY411" i="1"/>
  <c r="BW411" i="1"/>
  <c r="BU411" i="1"/>
  <c r="BS411" i="1"/>
  <c r="BQ411" i="1"/>
  <c r="BO411" i="1"/>
  <c r="BM411" i="1"/>
  <c r="BK411" i="1"/>
  <c r="BI411" i="1"/>
  <c r="BG411" i="1"/>
  <c r="BE411" i="1"/>
  <c r="BC411" i="1"/>
  <c r="BA411" i="1"/>
  <c r="AY411" i="1"/>
  <c r="AW411" i="1"/>
  <c r="AU411" i="1"/>
  <c r="AS411" i="1"/>
  <c r="AQ411" i="1"/>
  <c r="AO411" i="1"/>
  <c r="AI411" i="1"/>
  <c r="AE411" i="1"/>
  <c r="AC411" i="1"/>
  <c r="AB411" i="1"/>
  <c r="DR411" i="1" s="1"/>
  <c r="DV411" i="1" s="1"/>
  <c r="W411" i="1"/>
  <c r="U411" i="1"/>
  <c r="S411" i="1"/>
  <c r="Q411" i="1"/>
  <c r="DN410" i="1"/>
  <c r="DO410" i="1" s="1"/>
  <c r="DM410" i="1"/>
  <c r="DK410" i="1"/>
  <c r="DI410" i="1"/>
  <c r="DG410" i="1"/>
  <c r="DC410" i="1"/>
  <c r="CY410" i="1"/>
  <c r="CU410" i="1"/>
  <c r="CS410" i="1"/>
  <c r="CQ410" i="1"/>
  <c r="CO410" i="1"/>
  <c r="CM410" i="1"/>
  <c r="CI410" i="1"/>
  <c r="CG410" i="1"/>
  <c r="CE410" i="1"/>
  <c r="CC410" i="1"/>
  <c r="CA410" i="1"/>
  <c r="BY410" i="1"/>
  <c r="BW410" i="1"/>
  <c r="BU410" i="1"/>
  <c r="BS410" i="1"/>
  <c r="BQ410" i="1"/>
  <c r="BO410" i="1"/>
  <c r="BM410" i="1"/>
  <c r="BK410" i="1"/>
  <c r="BI410" i="1"/>
  <c r="BG410" i="1"/>
  <c r="BE410" i="1"/>
  <c r="BC410" i="1"/>
  <c r="BA410" i="1"/>
  <c r="AY410" i="1"/>
  <c r="AW410" i="1"/>
  <c r="AU410" i="1"/>
  <c r="AS410" i="1"/>
  <c r="AQ410" i="1"/>
  <c r="AO410" i="1"/>
  <c r="AI410" i="1"/>
  <c r="AE410" i="1"/>
  <c r="AC410" i="1"/>
  <c r="AB410" i="1"/>
  <c r="DR410" i="1" s="1"/>
  <c r="DV410" i="1" s="1"/>
  <c r="W410" i="1"/>
  <c r="U410" i="1"/>
  <c r="DS410" i="1" s="1"/>
  <c r="DW410" i="1" s="1"/>
  <c r="S410" i="1"/>
  <c r="Q410" i="1"/>
  <c r="DO409" i="1"/>
  <c r="DM409" i="1"/>
  <c r="DK409" i="1"/>
  <c r="DI409" i="1"/>
  <c r="DG409" i="1"/>
  <c r="DC409" i="1"/>
  <c r="CY409" i="1"/>
  <c r="CU409" i="1"/>
  <c r="CS409" i="1"/>
  <c r="CQ409" i="1"/>
  <c r="CO409" i="1"/>
  <c r="CM409" i="1"/>
  <c r="CI409" i="1"/>
  <c r="CG409" i="1"/>
  <c r="CE409" i="1"/>
  <c r="CC409" i="1"/>
  <c r="CA409" i="1"/>
  <c r="BY409" i="1"/>
  <c r="BW409" i="1"/>
  <c r="BU409" i="1"/>
  <c r="BS409" i="1"/>
  <c r="BQ409" i="1"/>
  <c r="BO409" i="1"/>
  <c r="BM409" i="1"/>
  <c r="BK409" i="1"/>
  <c r="BI409" i="1"/>
  <c r="BG409" i="1"/>
  <c r="BE409" i="1"/>
  <c r="BC409" i="1"/>
  <c r="BA409" i="1"/>
  <c r="AY409" i="1"/>
  <c r="AW409" i="1"/>
  <c r="AU409" i="1"/>
  <c r="AS409" i="1"/>
  <c r="AQ409" i="1"/>
  <c r="AO409" i="1"/>
  <c r="AI409" i="1"/>
  <c r="AE409" i="1"/>
  <c r="AC409" i="1"/>
  <c r="AB409" i="1"/>
  <c r="DR409" i="1" s="1"/>
  <c r="DV409" i="1" s="1"/>
  <c r="W409" i="1"/>
  <c r="U409" i="1"/>
  <c r="S409" i="1"/>
  <c r="Q409" i="1"/>
  <c r="DV408" i="1"/>
  <c r="DO408" i="1"/>
  <c r="DM408" i="1"/>
  <c r="DK408" i="1"/>
  <c r="DI408" i="1"/>
  <c r="DG408" i="1"/>
  <c r="DC408" i="1"/>
  <c r="CY408" i="1"/>
  <c r="CY403" i="1" s="1"/>
  <c r="CU408" i="1"/>
  <c r="CS408" i="1"/>
  <c r="CQ408" i="1"/>
  <c r="CO408" i="1"/>
  <c r="CM408" i="1"/>
  <c r="CI408" i="1"/>
  <c r="CG408" i="1"/>
  <c r="CE408" i="1"/>
  <c r="CC408" i="1"/>
  <c r="CA408" i="1"/>
  <c r="BY408" i="1"/>
  <c r="BW408" i="1"/>
  <c r="BU408" i="1"/>
  <c r="BS408" i="1"/>
  <c r="BQ408" i="1"/>
  <c r="BO408" i="1"/>
  <c r="BM408" i="1"/>
  <c r="BK408" i="1"/>
  <c r="BI408" i="1"/>
  <c r="BG408" i="1"/>
  <c r="BE408" i="1"/>
  <c r="BC408" i="1"/>
  <c r="BA408" i="1"/>
  <c r="AY408" i="1"/>
  <c r="AW408" i="1"/>
  <c r="AU408" i="1"/>
  <c r="AS408" i="1"/>
  <c r="AQ408" i="1"/>
  <c r="AO408" i="1"/>
  <c r="AI408" i="1"/>
  <c r="AE408" i="1"/>
  <c r="AC408" i="1"/>
  <c r="AB408" i="1"/>
  <c r="DR408" i="1" s="1"/>
  <c r="W408" i="1"/>
  <c r="U408" i="1"/>
  <c r="S408" i="1"/>
  <c r="Q408" i="1"/>
  <c r="DO407" i="1"/>
  <c r="DM407" i="1"/>
  <c r="DK407" i="1"/>
  <c r="DI407" i="1"/>
  <c r="DG407" i="1"/>
  <c r="DC407" i="1"/>
  <c r="CY407" i="1"/>
  <c r="CU407" i="1"/>
  <c r="CS407" i="1"/>
  <c r="CQ407" i="1"/>
  <c r="CO407" i="1"/>
  <c r="CM407" i="1"/>
  <c r="CI407" i="1"/>
  <c r="CG407" i="1"/>
  <c r="CE407" i="1"/>
  <c r="CC407" i="1"/>
  <c r="CA407" i="1"/>
  <c r="BY407" i="1"/>
  <c r="BW407" i="1"/>
  <c r="BU407" i="1"/>
  <c r="BS407" i="1"/>
  <c r="BQ407" i="1"/>
  <c r="BO407" i="1"/>
  <c r="BM407" i="1"/>
  <c r="BK407" i="1"/>
  <c r="BI407" i="1"/>
  <c r="BG407" i="1"/>
  <c r="BE407" i="1"/>
  <c r="BC407" i="1"/>
  <c r="BA407" i="1"/>
  <c r="AY407" i="1"/>
  <c r="AW407" i="1"/>
  <c r="AU407" i="1"/>
  <c r="AS407" i="1"/>
  <c r="AQ407" i="1"/>
  <c r="AO407" i="1"/>
  <c r="AI407" i="1"/>
  <c r="AE407" i="1"/>
  <c r="AC407" i="1"/>
  <c r="AB407" i="1"/>
  <c r="DR407" i="1" s="1"/>
  <c r="DV407" i="1" s="1"/>
  <c r="W407" i="1"/>
  <c r="U407" i="1"/>
  <c r="S407" i="1"/>
  <c r="Q407" i="1"/>
  <c r="DO406" i="1"/>
  <c r="DM406" i="1"/>
  <c r="DK406" i="1"/>
  <c r="DI406" i="1"/>
  <c r="DG406" i="1"/>
  <c r="DC406" i="1"/>
  <c r="CY406" i="1"/>
  <c r="CU406" i="1"/>
  <c r="CU403" i="1" s="1"/>
  <c r="CS406" i="1"/>
  <c r="CQ406" i="1"/>
  <c r="CO406" i="1"/>
  <c r="CM406" i="1"/>
  <c r="CI406" i="1"/>
  <c r="CG406" i="1"/>
  <c r="CE406" i="1"/>
  <c r="CC406" i="1"/>
  <c r="CA406" i="1"/>
  <c r="BY406" i="1"/>
  <c r="BW406" i="1"/>
  <c r="BU406" i="1"/>
  <c r="BS406" i="1"/>
  <c r="BQ406" i="1"/>
  <c r="BO406" i="1"/>
  <c r="BM406" i="1"/>
  <c r="BK406" i="1"/>
  <c r="BI406" i="1"/>
  <c r="BG406" i="1"/>
  <c r="BE406" i="1"/>
  <c r="BC406" i="1"/>
  <c r="BA406" i="1"/>
  <c r="AY406" i="1"/>
  <c r="AW406" i="1"/>
  <c r="AU406" i="1"/>
  <c r="AS406" i="1"/>
  <c r="AQ406" i="1"/>
  <c r="AO406" i="1"/>
  <c r="AI406" i="1"/>
  <c r="AE406" i="1"/>
  <c r="AC406" i="1"/>
  <c r="AB406" i="1"/>
  <c r="W406" i="1"/>
  <c r="U406" i="1"/>
  <c r="S406" i="1"/>
  <c r="Q406" i="1"/>
  <c r="DS406" i="1" s="1"/>
  <c r="DW406" i="1" s="1"/>
  <c r="DN405" i="1"/>
  <c r="DO405" i="1" s="1"/>
  <c r="DM405" i="1"/>
  <c r="DK405" i="1"/>
  <c r="DI405" i="1"/>
  <c r="DG405" i="1"/>
  <c r="DC405" i="1"/>
  <c r="CY405" i="1"/>
  <c r="CU405" i="1"/>
  <c r="CS405" i="1"/>
  <c r="CQ405" i="1"/>
  <c r="CO405" i="1"/>
  <c r="CM405" i="1"/>
  <c r="CI405" i="1"/>
  <c r="CG405" i="1"/>
  <c r="CE405" i="1"/>
  <c r="CC405" i="1"/>
  <c r="CA405" i="1"/>
  <c r="BY405" i="1"/>
  <c r="BW405" i="1"/>
  <c r="BU405" i="1"/>
  <c r="BS405" i="1"/>
  <c r="BQ405" i="1"/>
  <c r="BO405" i="1"/>
  <c r="BM405" i="1"/>
  <c r="BK405" i="1"/>
  <c r="BI405" i="1"/>
  <c r="BG405" i="1"/>
  <c r="BE405" i="1"/>
  <c r="BC405" i="1"/>
  <c r="BA405" i="1"/>
  <c r="AY405" i="1"/>
  <c r="AW405" i="1"/>
  <c r="AU405" i="1"/>
  <c r="AS405" i="1"/>
  <c r="AQ405" i="1"/>
  <c r="AO405" i="1"/>
  <c r="AI405" i="1"/>
  <c r="AE405" i="1"/>
  <c r="AC405" i="1"/>
  <c r="AB405" i="1"/>
  <c r="DR405" i="1" s="1"/>
  <c r="DV405" i="1" s="1"/>
  <c r="W405" i="1"/>
  <c r="U405" i="1"/>
  <c r="S405" i="1"/>
  <c r="Q405" i="1"/>
  <c r="DO404" i="1"/>
  <c r="DN404" i="1"/>
  <c r="DL404" i="1"/>
  <c r="DM404" i="1" s="1"/>
  <c r="DM403" i="1" s="1"/>
  <c r="DK404" i="1"/>
  <c r="DI404" i="1"/>
  <c r="DG404" i="1"/>
  <c r="DG403" i="1" s="1"/>
  <c r="DC404" i="1"/>
  <c r="CY404" i="1"/>
  <c r="CU404" i="1"/>
  <c r="CS404" i="1"/>
  <c r="CQ404" i="1"/>
  <c r="CO404" i="1"/>
  <c r="CM404" i="1"/>
  <c r="CI404" i="1"/>
  <c r="CG404" i="1"/>
  <c r="CE404" i="1"/>
  <c r="CC404" i="1"/>
  <c r="CA404" i="1"/>
  <c r="CA403" i="1" s="1"/>
  <c r="BY404" i="1"/>
  <c r="BW404" i="1"/>
  <c r="BU404" i="1"/>
  <c r="BS404" i="1"/>
  <c r="BQ404" i="1"/>
  <c r="BO404" i="1"/>
  <c r="BO403" i="1" s="1"/>
  <c r="BM404" i="1"/>
  <c r="BK404" i="1"/>
  <c r="BI404" i="1"/>
  <c r="BG404" i="1"/>
  <c r="BE404" i="1"/>
  <c r="BC404" i="1"/>
  <c r="BC403" i="1" s="1"/>
  <c r="BA404" i="1"/>
  <c r="AY404" i="1"/>
  <c r="AW404" i="1"/>
  <c r="AT404" i="1"/>
  <c r="AU404" i="1" s="1"/>
  <c r="AS404" i="1"/>
  <c r="AQ404" i="1"/>
  <c r="AO404" i="1"/>
  <c r="AI404" i="1"/>
  <c r="AE404" i="1"/>
  <c r="AC404" i="1"/>
  <c r="AB404" i="1"/>
  <c r="W404" i="1"/>
  <c r="U404" i="1"/>
  <c r="S404" i="1"/>
  <c r="Q404" i="1"/>
  <c r="Q403" i="1" s="1"/>
  <c r="DQ403" i="1"/>
  <c r="DP403" i="1"/>
  <c r="DL403" i="1"/>
  <c r="DJ403" i="1"/>
  <c r="DH403" i="1"/>
  <c r="DF403" i="1"/>
  <c r="DE403" i="1"/>
  <c r="DD403" i="1"/>
  <c r="DB403" i="1"/>
  <c r="CZ403" i="1"/>
  <c r="CX403" i="1"/>
  <c r="CV403" i="1"/>
  <c r="CT403" i="1"/>
  <c r="CR403" i="1"/>
  <c r="CP403" i="1"/>
  <c r="CN403" i="1"/>
  <c r="CL403" i="1"/>
  <c r="CK403" i="1"/>
  <c r="CJ403" i="1"/>
  <c r="CH403" i="1"/>
  <c r="CF403" i="1"/>
  <c r="CD403" i="1"/>
  <c r="CB403" i="1"/>
  <c r="BZ403" i="1"/>
  <c r="BX403" i="1"/>
  <c r="BV403" i="1"/>
  <c r="BT403" i="1"/>
  <c r="BR403" i="1"/>
  <c r="BP403" i="1"/>
  <c r="BN403" i="1"/>
  <c r="BL403" i="1"/>
  <c r="BJ403" i="1"/>
  <c r="BH403" i="1"/>
  <c r="BF403" i="1"/>
  <c r="BD403" i="1"/>
  <c r="BB403" i="1"/>
  <c r="AZ403" i="1"/>
  <c r="AX403" i="1"/>
  <c r="AV403" i="1"/>
  <c r="AR403" i="1"/>
  <c r="AP403" i="1"/>
  <c r="AN403" i="1"/>
  <c r="AM403" i="1"/>
  <c r="AL403" i="1"/>
  <c r="AK403" i="1"/>
  <c r="AJ403" i="1"/>
  <c r="AH403" i="1"/>
  <c r="AG403" i="1"/>
  <c r="AF403" i="1"/>
  <c r="AD403" i="1"/>
  <c r="V403" i="1"/>
  <c r="T403" i="1"/>
  <c r="R403" i="1"/>
  <c r="P403" i="1"/>
  <c r="DO402" i="1"/>
  <c r="DM402" i="1"/>
  <c r="DK402" i="1"/>
  <c r="DI402" i="1"/>
  <c r="DG402" i="1"/>
  <c r="DC402" i="1"/>
  <c r="CY402" i="1"/>
  <c r="CU402" i="1"/>
  <c r="CS402" i="1"/>
  <c r="CQ402" i="1"/>
  <c r="CO402" i="1"/>
  <c r="CM402" i="1"/>
  <c r="CI402" i="1"/>
  <c r="CG402" i="1"/>
  <c r="CE402" i="1"/>
  <c r="CC402" i="1"/>
  <c r="CA402" i="1"/>
  <c r="BY402" i="1"/>
  <c r="BW402" i="1"/>
  <c r="BU402" i="1"/>
  <c r="BS402" i="1"/>
  <c r="BQ402" i="1"/>
  <c r="BO402" i="1"/>
  <c r="BM402" i="1"/>
  <c r="BK402" i="1"/>
  <c r="BI402" i="1"/>
  <c r="BG402" i="1"/>
  <c r="BE402" i="1"/>
  <c r="BC402" i="1"/>
  <c r="BA402" i="1"/>
  <c r="AY402" i="1"/>
  <c r="AW402" i="1"/>
  <c r="AU402" i="1"/>
  <c r="AS402" i="1"/>
  <c r="AQ402" i="1"/>
  <c r="AO402" i="1"/>
  <c r="AI402" i="1"/>
  <c r="AE402" i="1"/>
  <c r="AC402" i="1"/>
  <c r="AB402" i="1"/>
  <c r="DR402" i="1" s="1"/>
  <c r="DV402" i="1" s="1"/>
  <c r="W402" i="1"/>
  <c r="U402" i="1"/>
  <c r="S402" i="1"/>
  <c r="Q402" i="1"/>
  <c r="DO401" i="1"/>
  <c r="DM401" i="1"/>
  <c r="DK401" i="1"/>
  <c r="DI401" i="1"/>
  <c r="DG401" i="1"/>
  <c r="DC401" i="1"/>
  <c r="CY401" i="1"/>
  <c r="CU401" i="1"/>
  <c r="CS401" i="1"/>
  <c r="CQ401" i="1"/>
  <c r="CO401" i="1"/>
  <c r="CM401" i="1"/>
  <c r="CI401" i="1"/>
  <c r="CG401" i="1"/>
  <c r="CE401" i="1"/>
  <c r="CC401" i="1"/>
  <c r="CA401" i="1"/>
  <c r="BY401" i="1"/>
  <c r="BW401" i="1"/>
  <c r="BU401" i="1"/>
  <c r="BS401" i="1"/>
  <c r="BQ401" i="1"/>
  <c r="BO401" i="1"/>
  <c r="BM401" i="1"/>
  <c r="BK401" i="1"/>
  <c r="BI401" i="1"/>
  <c r="BG401" i="1"/>
  <c r="BE401" i="1"/>
  <c r="BC401" i="1"/>
  <c r="BA401" i="1"/>
  <c r="AY401" i="1"/>
  <c r="AU401" i="1"/>
  <c r="AT401" i="1"/>
  <c r="AS401" i="1"/>
  <c r="AQ401" i="1"/>
  <c r="AO401" i="1"/>
  <c r="AI401" i="1"/>
  <c r="AE401" i="1"/>
  <c r="AC401" i="1"/>
  <c r="AB401" i="1"/>
  <c r="DR401" i="1" s="1"/>
  <c r="DV401" i="1" s="1"/>
  <c r="W401" i="1"/>
  <c r="U401" i="1"/>
  <c r="S401" i="1"/>
  <c r="Q401" i="1"/>
  <c r="DO400" i="1"/>
  <c r="DM400" i="1"/>
  <c r="DK400" i="1"/>
  <c r="DI400" i="1"/>
  <c r="DG400" i="1"/>
  <c r="DC400" i="1"/>
  <c r="CY400" i="1"/>
  <c r="CU400" i="1"/>
  <c r="CS400" i="1"/>
  <c r="CQ400" i="1"/>
  <c r="CO400" i="1"/>
  <c r="CM400" i="1"/>
  <c r="CI400" i="1"/>
  <c r="CG400" i="1"/>
  <c r="CG397" i="1" s="1"/>
  <c r="CE400" i="1"/>
  <c r="CC400" i="1"/>
  <c r="CA400" i="1"/>
  <c r="BY400" i="1"/>
  <c r="BW400" i="1"/>
  <c r="BU400" i="1"/>
  <c r="BS400" i="1"/>
  <c r="BQ400" i="1"/>
  <c r="BO400" i="1"/>
  <c r="BM400" i="1"/>
  <c r="BK400" i="1"/>
  <c r="BI400" i="1"/>
  <c r="BI397" i="1" s="1"/>
  <c r="BG400" i="1"/>
  <c r="BE400" i="1"/>
  <c r="BC400" i="1"/>
  <c r="BA400" i="1"/>
  <c r="AY400" i="1"/>
  <c r="AW400" i="1"/>
  <c r="AW397" i="1" s="1"/>
  <c r="AU400" i="1"/>
  <c r="AS400" i="1"/>
  <c r="AQ400" i="1"/>
  <c r="AO400" i="1"/>
  <c r="AI400" i="1"/>
  <c r="AE400" i="1"/>
  <c r="AC400" i="1"/>
  <c r="AB400" i="1"/>
  <c r="DR400" i="1" s="1"/>
  <c r="DV400" i="1" s="1"/>
  <c r="W400" i="1"/>
  <c r="U400" i="1"/>
  <c r="S400" i="1"/>
  <c r="Q400" i="1"/>
  <c r="DS400" i="1" s="1"/>
  <c r="DW400" i="1" s="1"/>
  <c r="DO399" i="1"/>
  <c r="DM399" i="1"/>
  <c r="DK399" i="1"/>
  <c r="DI399" i="1"/>
  <c r="DG399" i="1"/>
  <c r="DC399" i="1"/>
  <c r="DC397" i="1" s="1"/>
  <c r="CY399" i="1"/>
  <c r="CU399" i="1"/>
  <c r="CS399" i="1"/>
  <c r="CQ399" i="1"/>
  <c r="CO399" i="1"/>
  <c r="CM399" i="1"/>
  <c r="CM397" i="1" s="1"/>
  <c r="CI399" i="1"/>
  <c r="CG399" i="1"/>
  <c r="CE399" i="1"/>
  <c r="CC399" i="1"/>
  <c r="CA399" i="1"/>
  <c r="BY399" i="1"/>
  <c r="BY397" i="1" s="1"/>
  <c r="BW399" i="1"/>
  <c r="BU399" i="1"/>
  <c r="BU397" i="1" s="1"/>
  <c r="BS399" i="1"/>
  <c r="BQ399" i="1"/>
  <c r="BO399" i="1"/>
  <c r="BM399" i="1"/>
  <c r="BM397" i="1" s="1"/>
  <c r="BK399" i="1"/>
  <c r="BI399" i="1"/>
  <c r="BG399" i="1"/>
  <c r="BE399" i="1"/>
  <c r="BC399" i="1"/>
  <c r="BA399" i="1"/>
  <c r="BA397" i="1" s="1"/>
  <c r="AY399" i="1"/>
  <c r="AW399" i="1"/>
  <c r="AU399" i="1"/>
  <c r="AS399" i="1"/>
  <c r="AQ399" i="1"/>
  <c r="AO399" i="1"/>
  <c r="AO397" i="1" s="1"/>
  <c r="AI399" i="1"/>
  <c r="AI397" i="1" s="1"/>
  <c r="AE399" i="1"/>
  <c r="AC399" i="1"/>
  <c r="AB399" i="1"/>
  <c r="W399" i="1"/>
  <c r="U399" i="1"/>
  <c r="U397" i="1" s="1"/>
  <c r="S399" i="1"/>
  <c r="S397" i="1" s="1"/>
  <c r="Q399" i="1"/>
  <c r="DN398" i="1"/>
  <c r="DO398" i="1" s="1"/>
  <c r="DO397" i="1" s="1"/>
  <c r="DL398" i="1"/>
  <c r="DK398" i="1"/>
  <c r="DK397" i="1" s="1"/>
  <c r="DH398" i="1"/>
  <c r="DI398" i="1" s="1"/>
  <c r="DG398" i="1"/>
  <c r="DG397" i="1" s="1"/>
  <c r="DC398" i="1"/>
  <c r="CY398" i="1"/>
  <c r="CU398" i="1"/>
  <c r="CS398" i="1"/>
  <c r="CQ398" i="1"/>
  <c r="CO398" i="1"/>
  <c r="CM398" i="1"/>
  <c r="CI398" i="1"/>
  <c r="CG398" i="1"/>
  <c r="CE398" i="1"/>
  <c r="CE397" i="1" s="1"/>
  <c r="CC398" i="1"/>
  <c r="CA398" i="1"/>
  <c r="BY398" i="1"/>
  <c r="BW398" i="1"/>
  <c r="BU398" i="1"/>
  <c r="BS398" i="1"/>
  <c r="BS397" i="1" s="1"/>
  <c r="BQ398" i="1"/>
  <c r="BO398" i="1"/>
  <c r="BO397" i="1" s="1"/>
  <c r="BM398" i="1"/>
  <c r="BK398" i="1"/>
  <c r="BI398" i="1"/>
  <c r="BG398" i="1"/>
  <c r="BG397" i="1" s="1"/>
  <c r="BE398" i="1"/>
  <c r="BC398" i="1"/>
  <c r="BC397" i="1" s="1"/>
  <c r="BA398" i="1"/>
  <c r="AY398" i="1"/>
  <c r="AW398" i="1"/>
  <c r="AU398" i="1"/>
  <c r="AU397" i="1" s="1"/>
  <c r="AS398" i="1"/>
  <c r="AQ398" i="1"/>
  <c r="AI398" i="1"/>
  <c r="AE398" i="1"/>
  <c r="AC398" i="1"/>
  <c r="AB398" i="1"/>
  <c r="DR398" i="1" s="1"/>
  <c r="DV398" i="1" s="1"/>
  <c r="W398" i="1"/>
  <c r="W397" i="1" s="1"/>
  <c r="U398" i="1"/>
  <c r="S398" i="1"/>
  <c r="Q398" i="1"/>
  <c r="DQ397" i="1"/>
  <c r="DP397" i="1"/>
  <c r="DN397" i="1"/>
  <c r="DJ397" i="1"/>
  <c r="DF397" i="1"/>
  <c r="DE397" i="1"/>
  <c r="DD397" i="1"/>
  <c r="DB397" i="1"/>
  <c r="CZ397" i="1"/>
  <c r="CX397" i="1"/>
  <c r="CV397" i="1"/>
  <c r="CT397" i="1"/>
  <c r="CS397" i="1"/>
  <c r="CR397" i="1"/>
  <c r="CP397" i="1"/>
  <c r="CN397" i="1"/>
  <c r="CL397" i="1"/>
  <c r="CK397" i="1"/>
  <c r="CJ397" i="1"/>
  <c r="CH397" i="1"/>
  <c r="CF397" i="1"/>
  <c r="CD397" i="1"/>
  <c r="CB397" i="1"/>
  <c r="CA397" i="1"/>
  <c r="BZ397" i="1"/>
  <c r="BX397" i="1"/>
  <c r="BV397" i="1"/>
  <c r="BT397" i="1"/>
  <c r="BR397" i="1"/>
  <c r="BP397" i="1"/>
  <c r="BN397" i="1"/>
  <c r="BL397" i="1"/>
  <c r="BJ397" i="1"/>
  <c r="BH397" i="1"/>
  <c r="BF397" i="1"/>
  <c r="BD397" i="1"/>
  <c r="BB397" i="1"/>
  <c r="AZ397" i="1"/>
  <c r="AX397" i="1"/>
  <c r="AV397" i="1"/>
  <c r="AT397" i="1"/>
  <c r="AR397" i="1"/>
  <c r="AQ397" i="1"/>
  <c r="AP397" i="1"/>
  <c r="AN397" i="1"/>
  <c r="AM397" i="1"/>
  <c r="AL397" i="1"/>
  <c r="AK397" i="1"/>
  <c r="AJ397" i="1"/>
  <c r="AH397" i="1"/>
  <c r="AG397" i="1"/>
  <c r="AF397" i="1"/>
  <c r="AD397" i="1"/>
  <c r="V397" i="1"/>
  <c r="T397" i="1"/>
  <c r="R397" i="1"/>
  <c r="P397" i="1"/>
  <c r="DO396" i="1"/>
  <c r="DM396" i="1"/>
  <c r="DK396" i="1"/>
  <c r="DI396" i="1"/>
  <c r="DG396" i="1"/>
  <c r="DC396" i="1"/>
  <c r="CY396" i="1"/>
  <c r="CU396" i="1"/>
  <c r="CS396" i="1"/>
  <c r="CQ396" i="1"/>
  <c r="CO396" i="1"/>
  <c r="CM396" i="1"/>
  <c r="CI396" i="1"/>
  <c r="CG396" i="1"/>
  <c r="CE396" i="1"/>
  <c r="CC396" i="1"/>
  <c r="CA396" i="1"/>
  <c r="BY396" i="1"/>
  <c r="BW396" i="1"/>
  <c r="BU396" i="1"/>
  <c r="BS396" i="1"/>
  <c r="BQ396" i="1"/>
  <c r="BO396" i="1"/>
  <c r="BM396" i="1"/>
  <c r="BK396" i="1"/>
  <c r="BI396" i="1"/>
  <c r="BG396" i="1"/>
  <c r="BE396" i="1"/>
  <c r="BC396" i="1"/>
  <c r="BA396" i="1"/>
  <c r="AY396" i="1"/>
  <c r="AW396" i="1"/>
  <c r="AU396" i="1"/>
  <c r="AS396" i="1"/>
  <c r="AQ396" i="1"/>
  <c r="AO396" i="1"/>
  <c r="AI396" i="1"/>
  <c r="AE396" i="1"/>
  <c r="AC396" i="1"/>
  <c r="AB396" i="1"/>
  <c r="DR396" i="1" s="1"/>
  <c r="DV396" i="1" s="1"/>
  <c r="W396" i="1"/>
  <c r="U396" i="1"/>
  <c r="S396" i="1"/>
  <c r="Q396" i="1"/>
  <c r="DO395" i="1"/>
  <c r="DM395" i="1"/>
  <c r="DK395" i="1"/>
  <c r="DI395" i="1"/>
  <c r="DG395" i="1"/>
  <c r="DC395" i="1"/>
  <c r="CY395" i="1"/>
  <c r="CU395" i="1"/>
  <c r="CS395" i="1"/>
  <c r="CQ395" i="1"/>
  <c r="CO395" i="1"/>
  <c r="CM395" i="1"/>
  <c r="CI395" i="1"/>
  <c r="CG395" i="1"/>
  <c r="CE395" i="1"/>
  <c r="CC395" i="1"/>
  <c r="CA395" i="1"/>
  <c r="BY395" i="1"/>
  <c r="BW395" i="1"/>
  <c r="BU395" i="1"/>
  <c r="BS395" i="1"/>
  <c r="BQ395" i="1"/>
  <c r="BO395" i="1"/>
  <c r="BM395" i="1"/>
  <c r="BK395" i="1"/>
  <c r="BI395" i="1"/>
  <c r="BG395" i="1"/>
  <c r="BE395" i="1"/>
  <c r="BC395" i="1"/>
  <c r="BA395" i="1"/>
  <c r="AY395" i="1"/>
  <c r="AW395" i="1"/>
  <c r="AU395" i="1"/>
  <c r="AS395" i="1"/>
  <c r="AQ395" i="1"/>
  <c r="AO395" i="1"/>
  <c r="AI395" i="1"/>
  <c r="AE395" i="1"/>
  <c r="AC395" i="1"/>
  <c r="AB395" i="1"/>
  <c r="DR395" i="1" s="1"/>
  <c r="DV395" i="1" s="1"/>
  <c r="W395" i="1"/>
  <c r="U395" i="1"/>
  <c r="S395" i="1"/>
  <c r="Q395" i="1"/>
  <c r="DR394" i="1"/>
  <c r="DV394" i="1" s="1"/>
  <c r="DO394" i="1"/>
  <c r="DM394" i="1"/>
  <c r="DK394" i="1"/>
  <c r="DI394" i="1"/>
  <c r="DG394" i="1"/>
  <c r="DC394" i="1"/>
  <c r="CY394" i="1"/>
  <c r="CU394" i="1"/>
  <c r="CS394" i="1"/>
  <c r="CQ394" i="1"/>
  <c r="CO394" i="1"/>
  <c r="CM394" i="1"/>
  <c r="CI394" i="1"/>
  <c r="CG394" i="1"/>
  <c r="CE394" i="1"/>
  <c r="CC394" i="1"/>
  <c r="CA394" i="1"/>
  <c r="BY394" i="1"/>
  <c r="BW394" i="1"/>
  <c r="BU394" i="1"/>
  <c r="BS394" i="1"/>
  <c r="BQ394" i="1"/>
  <c r="BO394" i="1"/>
  <c r="BM394" i="1"/>
  <c r="BK394" i="1"/>
  <c r="BI394" i="1"/>
  <c r="BG394" i="1"/>
  <c r="BE394" i="1"/>
  <c r="BC394" i="1"/>
  <c r="BA394" i="1"/>
  <c r="AY394" i="1"/>
  <c r="AW394" i="1"/>
  <c r="AU394" i="1"/>
  <c r="AS394" i="1"/>
  <c r="AQ394" i="1"/>
  <c r="AO394" i="1"/>
  <c r="AI394" i="1"/>
  <c r="AE394" i="1"/>
  <c r="AC394" i="1"/>
  <c r="AB394" i="1"/>
  <c r="W394" i="1"/>
  <c r="U394" i="1"/>
  <c r="S394" i="1"/>
  <c r="Q394" i="1"/>
  <c r="DO393" i="1"/>
  <c r="DM393" i="1"/>
  <c r="DK393" i="1"/>
  <c r="DI393" i="1"/>
  <c r="DG393" i="1"/>
  <c r="DC393" i="1"/>
  <c r="CY393" i="1"/>
  <c r="CU393" i="1"/>
  <c r="CS393" i="1"/>
  <c r="CQ393" i="1"/>
  <c r="CO393" i="1"/>
  <c r="CM393" i="1"/>
  <c r="CI393" i="1"/>
  <c r="CG393" i="1"/>
  <c r="CE393" i="1"/>
  <c r="CC393" i="1"/>
  <c r="CA393" i="1"/>
  <c r="BY393" i="1"/>
  <c r="BW393" i="1"/>
  <c r="BU393" i="1"/>
  <c r="BS393" i="1"/>
  <c r="BQ393" i="1"/>
  <c r="BO393" i="1"/>
  <c r="BM393" i="1"/>
  <c r="BK393" i="1"/>
  <c r="BI393" i="1"/>
  <c r="BG393" i="1"/>
  <c r="BE393" i="1"/>
  <c r="BC393" i="1"/>
  <c r="BA393" i="1"/>
  <c r="AY393" i="1"/>
  <c r="AW393" i="1"/>
  <c r="AU393" i="1"/>
  <c r="AS393" i="1"/>
  <c r="AQ393" i="1"/>
  <c r="AO393" i="1"/>
  <c r="AI393" i="1"/>
  <c r="AE393" i="1"/>
  <c r="AC393" i="1"/>
  <c r="AB393" i="1"/>
  <c r="DR393" i="1" s="1"/>
  <c r="DV393" i="1" s="1"/>
  <c r="W393" i="1"/>
  <c r="U393" i="1"/>
  <c r="S393" i="1"/>
  <c r="Q393" i="1"/>
  <c r="DN392" i="1"/>
  <c r="DM392" i="1"/>
  <c r="DK392" i="1"/>
  <c r="DH392" i="1"/>
  <c r="DI392" i="1" s="1"/>
  <c r="DG392" i="1"/>
  <c r="DC392" i="1"/>
  <c r="CY392" i="1"/>
  <c r="CU392" i="1"/>
  <c r="CS392" i="1"/>
  <c r="CQ392" i="1"/>
  <c r="CO392" i="1"/>
  <c r="CM392" i="1"/>
  <c r="CI392" i="1"/>
  <c r="CG392" i="1"/>
  <c r="CE392" i="1"/>
  <c r="CC392" i="1"/>
  <c r="CA392" i="1"/>
  <c r="BY392" i="1"/>
  <c r="BW392" i="1"/>
  <c r="BU392" i="1"/>
  <c r="BS392" i="1"/>
  <c r="BQ392" i="1"/>
  <c r="BO392" i="1"/>
  <c r="BM392" i="1"/>
  <c r="BK392" i="1"/>
  <c r="BI392" i="1"/>
  <c r="BG392" i="1"/>
  <c r="BE392" i="1"/>
  <c r="BC392" i="1"/>
  <c r="BA392" i="1"/>
  <c r="AY392" i="1"/>
  <c r="AW392" i="1"/>
  <c r="AU392" i="1"/>
  <c r="AS392" i="1"/>
  <c r="AQ392" i="1"/>
  <c r="AO392" i="1"/>
  <c r="AI392" i="1"/>
  <c r="AE392" i="1"/>
  <c r="AC392" i="1"/>
  <c r="AB392" i="1"/>
  <c r="W392" i="1"/>
  <c r="U392" i="1"/>
  <c r="S392" i="1"/>
  <c r="Q392" i="1"/>
  <c r="DO391" i="1"/>
  <c r="DN391" i="1"/>
  <c r="DL391" i="1"/>
  <c r="DM391" i="1" s="1"/>
  <c r="DK391" i="1"/>
  <c r="DH391" i="1"/>
  <c r="DI391" i="1" s="1"/>
  <c r="DG391" i="1"/>
  <c r="DC391" i="1"/>
  <c r="CY391" i="1"/>
  <c r="CU391" i="1"/>
  <c r="CS391" i="1"/>
  <c r="CQ391" i="1"/>
  <c r="CO391" i="1"/>
  <c r="CM391" i="1"/>
  <c r="CI391" i="1"/>
  <c r="CG391" i="1"/>
  <c r="CE391" i="1"/>
  <c r="CC391" i="1"/>
  <c r="CA391" i="1"/>
  <c r="BY391" i="1"/>
  <c r="BW391" i="1"/>
  <c r="BU391" i="1"/>
  <c r="BS391" i="1"/>
  <c r="BQ391" i="1"/>
  <c r="BO391" i="1"/>
  <c r="BM391" i="1"/>
  <c r="BK391" i="1"/>
  <c r="BI391" i="1"/>
  <c r="BG391" i="1"/>
  <c r="BE391" i="1"/>
  <c r="BC391" i="1"/>
  <c r="BA391" i="1"/>
  <c r="AY391" i="1"/>
  <c r="AW391" i="1"/>
  <c r="AT391" i="1"/>
  <c r="AS391" i="1"/>
  <c r="AQ391" i="1"/>
  <c r="AO391" i="1"/>
  <c r="AI391" i="1"/>
  <c r="AE391" i="1"/>
  <c r="AC391" i="1"/>
  <c r="AB391" i="1"/>
  <c r="W391" i="1"/>
  <c r="U391" i="1"/>
  <c r="S391" i="1"/>
  <c r="Q391" i="1"/>
  <c r="DN390" i="1"/>
  <c r="DO390" i="1" s="1"/>
  <c r="DM390" i="1"/>
  <c r="DK390" i="1"/>
  <c r="DI390" i="1"/>
  <c r="DG390" i="1"/>
  <c r="DC390" i="1"/>
  <c r="CY390" i="1"/>
  <c r="CU390" i="1"/>
  <c r="CS390" i="1"/>
  <c r="CS388" i="1" s="1"/>
  <c r="CQ390" i="1"/>
  <c r="CO390" i="1"/>
  <c r="CM390" i="1"/>
  <c r="CI390" i="1"/>
  <c r="CG390" i="1"/>
  <c r="CE390" i="1"/>
  <c r="CC390" i="1"/>
  <c r="CA390" i="1"/>
  <c r="BY390" i="1"/>
  <c r="BW390" i="1"/>
  <c r="BU390" i="1"/>
  <c r="BS390" i="1"/>
  <c r="BQ390" i="1"/>
  <c r="BO390" i="1"/>
  <c r="BM390" i="1"/>
  <c r="BK390" i="1"/>
  <c r="BI390" i="1"/>
  <c r="BG390" i="1"/>
  <c r="BE390" i="1"/>
  <c r="BC390" i="1"/>
  <c r="BA390" i="1"/>
  <c r="AY390" i="1"/>
  <c r="AW390" i="1"/>
  <c r="AU390" i="1"/>
  <c r="AT390" i="1"/>
  <c r="AS390" i="1"/>
  <c r="AQ390" i="1"/>
  <c r="AO390" i="1"/>
  <c r="AI390" i="1"/>
  <c r="AI388" i="1" s="1"/>
  <c r="AE390" i="1"/>
  <c r="AC390" i="1"/>
  <c r="AB390" i="1"/>
  <c r="W390" i="1"/>
  <c r="U390" i="1"/>
  <c r="S390" i="1"/>
  <c r="S388" i="1" s="1"/>
  <c r="Q390" i="1"/>
  <c r="DO389" i="1"/>
  <c r="DN389" i="1"/>
  <c r="DL389" i="1"/>
  <c r="DK389" i="1"/>
  <c r="DI389" i="1"/>
  <c r="DI388" i="1" s="1"/>
  <c r="DG389" i="1"/>
  <c r="DC389" i="1"/>
  <c r="CY389" i="1"/>
  <c r="CU389" i="1"/>
  <c r="CS389" i="1"/>
  <c r="CQ389" i="1"/>
  <c r="CQ388" i="1" s="1"/>
  <c r="CO389" i="1"/>
  <c r="CM389" i="1"/>
  <c r="CI389" i="1"/>
  <c r="CG389" i="1"/>
  <c r="CE389" i="1"/>
  <c r="CC389" i="1"/>
  <c r="CC388" i="1" s="1"/>
  <c r="CA389" i="1"/>
  <c r="BY389" i="1"/>
  <c r="BW389" i="1"/>
  <c r="BU389" i="1"/>
  <c r="BS389" i="1"/>
  <c r="BQ389" i="1"/>
  <c r="BQ388" i="1" s="1"/>
  <c r="BO389" i="1"/>
  <c r="BM389" i="1"/>
  <c r="BK389" i="1"/>
  <c r="BI389" i="1"/>
  <c r="BG389" i="1"/>
  <c r="BE389" i="1"/>
  <c r="BE388" i="1" s="1"/>
  <c r="BC389" i="1"/>
  <c r="BA389" i="1"/>
  <c r="AY389" i="1"/>
  <c r="AW389" i="1"/>
  <c r="AU389" i="1"/>
  <c r="AS389" i="1"/>
  <c r="AS388" i="1" s="1"/>
  <c r="AQ389" i="1"/>
  <c r="AQ388" i="1" s="1"/>
  <c r="AO389" i="1"/>
  <c r="AI389" i="1"/>
  <c r="AE389" i="1"/>
  <c r="AC389" i="1"/>
  <c r="AB389" i="1"/>
  <c r="DR389" i="1" s="1"/>
  <c r="DV389" i="1" s="1"/>
  <c r="W389" i="1"/>
  <c r="W388" i="1" s="1"/>
  <c r="U389" i="1"/>
  <c r="S389" i="1"/>
  <c r="Q389" i="1"/>
  <c r="DQ388" i="1"/>
  <c r="DP388" i="1"/>
  <c r="DJ388" i="1"/>
  <c r="DF388" i="1"/>
  <c r="DE388" i="1"/>
  <c r="DD388" i="1"/>
  <c r="DB388" i="1"/>
  <c r="CZ388" i="1"/>
  <c r="CX388" i="1"/>
  <c r="CV388" i="1"/>
  <c r="CT388" i="1"/>
  <c r="CR388" i="1"/>
  <c r="CP388" i="1"/>
  <c r="CN388" i="1"/>
  <c r="CL388" i="1"/>
  <c r="CK388" i="1"/>
  <c r="CJ388" i="1"/>
  <c r="CH388" i="1"/>
  <c r="CF388" i="1"/>
  <c r="CD388" i="1"/>
  <c r="CB388" i="1"/>
  <c r="BZ388" i="1"/>
  <c r="BX388" i="1"/>
  <c r="BV388" i="1"/>
  <c r="BT388" i="1"/>
  <c r="BR388" i="1"/>
  <c r="BP388" i="1"/>
  <c r="BN388" i="1"/>
  <c r="BL388" i="1"/>
  <c r="BJ388" i="1"/>
  <c r="BH388" i="1"/>
  <c r="BF388" i="1"/>
  <c r="BD388" i="1"/>
  <c r="BB388" i="1"/>
  <c r="AZ388" i="1"/>
  <c r="AX388" i="1"/>
  <c r="AV388" i="1"/>
  <c r="AT388" i="1"/>
  <c r="AR388" i="1"/>
  <c r="AP388" i="1"/>
  <c r="AN388" i="1"/>
  <c r="AM388" i="1"/>
  <c r="AL388" i="1"/>
  <c r="AK388" i="1"/>
  <c r="AJ388" i="1"/>
  <c r="AH388" i="1"/>
  <c r="AG388" i="1"/>
  <c r="AF388" i="1"/>
  <c r="AD388" i="1"/>
  <c r="V388" i="1"/>
  <c r="T388" i="1"/>
  <c r="R388" i="1"/>
  <c r="P388" i="1"/>
  <c r="DO387" i="1"/>
  <c r="DM387" i="1"/>
  <c r="DK387" i="1"/>
  <c r="DI387" i="1"/>
  <c r="DG387" i="1"/>
  <c r="DC387" i="1"/>
  <c r="CY387" i="1"/>
  <c r="CU387" i="1"/>
  <c r="CS387" i="1"/>
  <c r="CQ387" i="1"/>
  <c r="CO387" i="1"/>
  <c r="CM387" i="1"/>
  <c r="CI387" i="1"/>
  <c r="CG387" i="1"/>
  <c r="CE387" i="1"/>
  <c r="CC387" i="1"/>
  <c r="CA387" i="1"/>
  <c r="BY387" i="1"/>
  <c r="BW387" i="1"/>
  <c r="BU387" i="1"/>
  <c r="BS387" i="1"/>
  <c r="BQ387" i="1"/>
  <c r="BO387" i="1"/>
  <c r="BM387" i="1"/>
  <c r="BK387" i="1"/>
  <c r="BI387" i="1"/>
  <c r="BG387" i="1"/>
  <c r="BE387" i="1"/>
  <c r="BC387" i="1"/>
  <c r="BA387" i="1"/>
  <c r="AY387" i="1"/>
  <c r="AU387" i="1"/>
  <c r="AS387" i="1"/>
  <c r="AP387" i="1"/>
  <c r="AO387" i="1"/>
  <c r="AI387" i="1"/>
  <c r="AE387" i="1"/>
  <c r="AC387" i="1"/>
  <c r="AB387" i="1"/>
  <c r="W387" i="1"/>
  <c r="U387" i="1"/>
  <c r="S387" i="1"/>
  <c r="Q387" i="1"/>
  <c r="DO386" i="1"/>
  <c r="DM386" i="1"/>
  <c r="DK386" i="1"/>
  <c r="DI386" i="1"/>
  <c r="DG386" i="1"/>
  <c r="DC386" i="1"/>
  <c r="CY386" i="1"/>
  <c r="CU386" i="1"/>
  <c r="CS386" i="1"/>
  <c r="CQ386" i="1"/>
  <c r="CO386" i="1"/>
  <c r="CM386" i="1"/>
  <c r="CI386" i="1"/>
  <c r="CG386" i="1"/>
  <c r="CE386" i="1"/>
  <c r="CC386" i="1"/>
  <c r="CA386" i="1"/>
  <c r="BY386" i="1"/>
  <c r="BW386" i="1"/>
  <c r="BU386" i="1"/>
  <c r="BS386" i="1"/>
  <c r="BQ386" i="1"/>
  <c r="BO386" i="1"/>
  <c r="BM386" i="1"/>
  <c r="BK386" i="1"/>
  <c r="BI386" i="1"/>
  <c r="BG386" i="1"/>
  <c r="BE386" i="1"/>
  <c r="BC386" i="1"/>
  <c r="BA386" i="1"/>
  <c r="AY386" i="1"/>
  <c r="AU386" i="1"/>
  <c r="AS386" i="1"/>
  <c r="AQ386" i="1"/>
  <c r="AP386" i="1"/>
  <c r="AO386" i="1"/>
  <c r="AI386" i="1"/>
  <c r="AE386" i="1"/>
  <c r="AC386" i="1"/>
  <c r="AB386" i="1"/>
  <c r="DR386" i="1" s="1"/>
  <c r="DV386" i="1" s="1"/>
  <c r="W386" i="1"/>
  <c r="U386" i="1"/>
  <c r="S386" i="1"/>
  <c r="Q386" i="1"/>
  <c r="DR385" i="1"/>
  <c r="DV385" i="1" s="1"/>
  <c r="DO385" i="1"/>
  <c r="DM385" i="1"/>
  <c r="DK385" i="1"/>
  <c r="DI385" i="1"/>
  <c r="DG385" i="1"/>
  <c r="DC385" i="1"/>
  <c r="CY385" i="1"/>
  <c r="CU385" i="1"/>
  <c r="CS385" i="1"/>
  <c r="CQ385" i="1"/>
  <c r="CO385" i="1"/>
  <c r="CM385" i="1"/>
  <c r="CI385" i="1"/>
  <c r="CG385" i="1"/>
  <c r="CE385" i="1"/>
  <c r="CC385" i="1"/>
  <c r="CA385" i="1"/>
  <c r="BY385" i="1"/>
  <c r="BW385" i="1"/>
  <c r="BU385" i="1"/>
  <c r="BS385" i="1"/>
  <c r="BQ385" i="1"/>
  <c r="BO385" i="1"/>
  <c r="BM385" i="1"/>
  <c r="BK385" i="1"/>
  <c r="BI385" i="1"/>
  <c r="BG385" i="1"/>
  <c r="BE385" i="1"/>
  <c r="BC385" i="1"/>
  <c r="BA385" i="1"/>
  <c r="AY385" i="1"/>
  <c r="AT385" i="1"/>
  <c r="AU385" i="1" s="1"/>
  <c r="AS385" i="1"/>
  <c r="AQ385" i="1"/>
  <c r="AO385" i="1"/>
  <c r="AI385" i="1"/>
  <c r="AE385" i="1"/>
  <c r="AC385" i="1"/>
  <c r="AB385" i="1"/>
  <c r="W385" i="1"/>
  <c r="U385" i="1"/>
  <c r="S385" i="1"/>
  <c r="Q385" i="1"/>
  <c r="DO384" i="1"/>
  <c r="DM384" i="1"/>
  <c r="DK384" i="1"/>
  <c r="DI384" i="1"/>
  <c r="DG384" i="1"/>
  <c r="DC384" i="1"/>
  <c r="CY384" i="1"/>
  <c r="CU384" i="1"/>
  <c r="CS384" i="1"/>
  <c r="CQ384" i="1"/>
  <c r="CO384" i="1"/>
  <c r="CM384" i="1"/>
  <c r="CI384" i="1"/>
  <c r="CG384" i="1"/>
  <c r="CE384" i="1"/>
  <c r="CC384" i="1"/>
  <c r="CA384" i="1"/>
  <c r="BY384" i="1"/>
  <c r="BW384" i="1"/>
  <c r="BU384" i="1"/>
  <c r="BS384" i="1"/>
  <c r="BQ384" i="1"/>
  <c r="BO384" i="1"/>
  <c r="BM384" i="1"/>
  <c r="BK384" i="1"/>
  <c r="BI384" i="1"/>
  <c r="BG384" i="1"/>
  <c r="BE384" i="1"/>
  <c r="BC384" i="1"/>
  <c r="BA384" i="1"/>
  <c r="AY384" i="1"/>
  <c r="AU384" i="1"/>
  <c r="AS384" i="1"/>
  <c r="AQ384" i="1"/>
  <c r="AO384" i="1"/>
  <c r="AI384" i="1"/>
  <c r="AE384" i="1"/>
  <c r="AC384" i="1"/>
  <c r="AB384" i="1"/>
  <c r="DR384" i="1" s="1"/>
  <c r="DV384" i="1" s="1"/>
  <c r="W384" i="1"/>
  <c r="U384" i="1"/>
  <c r="S384" i="1"/>
  <c r="Q384" i="1"/>
  <c r="DR383" i="1"/>
  <c r="DV383" i="1" s="1"/>
  <c r="DO383" i="1"/>
  <c r="DM383" i="1"/>
  <c r="DK383" i="1"/>
  <c r="DI383" i="1"/>
  <c r="DE383" i="1"/>
  <c r="DC383" i="1"/>
  <c r="CY383" i="1"/>
  <c r="CU383" i="1"/>
  <c r="CS383" i="1"/>
  <c r="CQ383" i="1"/>
  <c r="CO383" i="1"/>
  <c r="CM383" i="1"/>
  <c r="CI383" i="1"/>
  <c r="CG383" i="1"/>
  <c r="CE383" i="1"/>
  <c r="CC383" i="1"/>
  <c r="CA383" i="1"/>
  <c r="BY383" i="1"/>
  <c r="BW383" i="1"/>
  <c r="BU383" i="1"/>
  <c r="BS383" i="1"/>
  <c r="BQ383" i="1"/>
  <c r="BO383" i="1"/>
  <c r="BM383" i="1"/>
  <c r="BI383" i="1"/>
  <c r="BG383" i="1"/>
  <c r="BE383" i="1"/>
  <c r="BC383" i="1"/>
  <c r="BA383" i="1"/>
  <c r="AY383" i="1"/>
  <c r="AU383" i="1"/>
  <c r="AS383" i="1"/>
  <c r="AQ383" i="1"/>
  <c r="AO383" i="1"/>
  <c r="AI383" i="1"/>
  <c r="AE383" i="1"/>
  <c r="AC383" i="1"/>
  <c r="AB383" i="1"/>
  <c r="W383" i="1"/>
  <c r="U383" i="1"/>
  <c r="S383" i="1"/>
  <c r="Q383" i="1"/>
  <c r="DR382" i="1"/>
  <c r="DV382" i="1" s="1"/>
  <c r="DO382" i="1"/>
  <c r="DM382" i="1"/>
  <c r="DK382" i="1"/>
  <c r="DI382" i="1"/>
  <c r="DE382" i="1"/>
  <c r="DC382" i="1"/>
  <c r="CY382" i="1"/>
  <c r="CU382" i="1"/>
  <c r="CS382" i="1"/>
  <c r="CQ382" i="1"/>
  <c r="CO382" i="1"/>
  <c r="CM382" i="1"/>
  <c r="CI382" i="1"/>
  <c r="CG382" i="1"/>
  <c r="CE382" i="1"/>
  <c r="CC382" i="1"/>
  <c r="CA382" i="1"/>
  <c r="BY382" i="1"/>
  <c r="BW382" i="1"/>
  <c r="BU382" i="1"/>
  <c r="BS382" i="1"/>
  <c r="BQ382" i="1"/>
  <c r="BO382" i="1"/>
  <c r="BM382" i="1"/>
  <c r="BI382" i="1"/>
  <c r="BG382" i="1"/>
  <c r="BE382" i="1"/>
  <c r="BC382" i="1"/>
  <c r="BA382" i="1"/>
  <c r="AY382" i="1"/>
  <c r="AU382" i="1"/>
  <c r="AS382" i="1"/>
  <c r="AQ382" i="1"/>
  <c r="AO382" i="1"/>
  <c r="AI382" i="1"/>
  <c r="AE382" i="1"/>
  <c r="AC382" i="1"/>
  <c r="AB382" i="1"/>
  <c r="W382" i="1"/>
  <c r="U382" i="1"/>
  <c r="S382" i="1"/>
  <c r="Q382" i="1"/>
  <c r="DO381" i="1"/>
  <c r="DM381" i="1"/>
  <c r="DK381" i="1"/>
  <c r="DH381" i="1"/>
  <c r="DE381" i="1"/>
  <c r="DC381" i="1"/>
  <c r="CY381" i="1"/>
  <c r="CU381" i="1"/>
  <c r="CS381" i="1"/>
  <c r="CQ381" i="1"/>
  <c r="CO381" i="1"/>
  <c r="CM381" i="1"/>
  <c r="CI381" i="1"/>
  <c r="CG381" i="1"/>
  <c r="CE381" i="1"/>
  <c r="CC381" i="1"/>
  <c r="CA381" i="1"/>
  <c r="BY381" i="1"/>
  <c r="BW381" i="1"/>
  <c r="BU381" i="1"/>
  <c r="BS381" i="1"/>
  <c r="BQ381" i="1"/>
  <c r="BO381" i="1"/>
  <c r="BM381" i="1"/>
  <c r="BI381" i="1"/>
  <c r="BG381" i="1"/>
  <c r="BE381" i="1"/>
  <c r="BC381" i="1"/>
  <c r="BA381" i="1"/>
  <c r="AY381" i="1"/>
  <c r="AU381" i="1"/>
  <c r="AT381" i="1"/>
  <c r="AS381" i="1"/>
  <c r="AQ381" i="1"/>
  <c r="AO381" i="1"/>
  <c r="AI381" i="1"/>
  <c r="AE381" i="1"/>
  <c r="AC381" i="1"/>
  <c r="AB381" i="1"/>
  <c r="W381" i="1"/>
  <c r="U381" i="1"/>
  <c r="S381" i="1"/>
  <c r="Q381" i="1"/>
  <c r="DO380" i="1"/>
  <c r="DM380" i="1"/>
  <c r="DK380" i="1"/>
  <c r="DI380" i="1"/>
  <c r="DE380" i="1"/>
  <c r="DC380" i="1"/>
  <c r="CY380" i="1"/>
  <c r="CU380" i="1"/>
  <c r="CS380" i="1"/>
  <c r="CQ380" i="1"/>
  <c r="CO380" i="1"/>
  <c r="CM380" i="1"/>
  <c r="CI380" i="1"/>
  <c r="CG380" i="1"/>
  <c r="CE380" i="1"/>
  <c r="CC380" i="1"/>
  <c r="CA380" i="1"/>
  <c r="BY380" i="1"/>
  <c r="BW380" i="1"/>
  <c r="BU380" i="1"/>
  <c r="BS380" i="1"/>
  <c r="BQ380" i="1"/>
  <c r="BO380" i="1"/>
  <c r="BM380" i="1"/>
  <c r="BI380" i="1"/>
  <c r="BG380" i="1"/>
  <c r="BE380" i="1"/>
  <c r="BC380" i="1"/>
  <c r="BA380" i="1"/>
  <c r="AY380" i="1"/>
  <c r="AU380" i="1"/>
  <c r="AS380" i="1"/>
  <c r="AQ380" i="1"/>
  <c r="AO380" i="1"/>
  <c r="AI380" i="1"/>
  <c r="AE380" i="1"/>
  <c r="AC380" i="1"/>
  <c r="AB380" i="1"/>
  <c r="DR380" i="1" s="1"/>
  <c r="DV380" i="1" s="1"/>
  <c r="W380" i="1"/>
  <c r="U380" i="1"/>
  <c r="S380" i="1"/>
  <c r="Q380" i="1"/>
  <c r="DO379" i="1"/>
  <c r="DN379" i="1"/>
  <c r="DM379" i="1"/>
  <c r="DK379" i="1"/>
  <c r="DI379" i="1"/>
  <c r="DG379" i="1"/>
  <c r="DE379" i="1"/>
  <c r="DC379" i="1"/>
  <c r="CY379" i="1"/>
  <c r="CU379" i="1"/>
  <c r="CS379" i="1"/>
  <c r="CQ379" i="1"/>
  <c r="CO379" i="1"/>
  <c r="CM379" i="1"/>
  <c r="CI379" i="1"/>
  <c r="CG379" i="1"/>
  <c r="CE379" i="1"/>
  <c r="CC379" i="1"/>
  <c r="CA379" i="1"/>
  <c r="BY379" i="1"/>
  <c r="BW379" i="1"/>
  <c r="BU379" i="1"/>
  <c r="BS379" i="1"/>
  <c r="BQ379" i="1"/>
  <c r="BO379" i="1"/>
  <c r="BM379" i="1"/>
  <c r="BI379" i="1"/>
  <c r="BG379" i="1"/>
  <c r="BE379" i="1"/>
  <c r="BC379" i="1"/>
  <c r="BA379" i="1"/>
  <c r="AY379" i="1"/>
  <c r="AU379" i="1"/>
  <c r="AS379" i="1"/>
  <c r="AQ379" i="1"/>
  <c r="AP379" i="1"/>
  <c r="AO379" i="1"/>
  <c r="AI379" i="1"/>
  <c r="AE379" i="1"/>
  <c r="AC379" i="1"/>
  <c r="AB379" i="1"/>
  <c r="DR379" i="1" s="1"/>
  <c r="DV379" i="1" s="1"/>
  <c r="W379" i="1"/>
  <c r="U379" i="1"/>
  <c r="S379" i="1"/>
  <c r="Q379" i="1"/>
  <c r="DR378" i="1"/>
  <c r="DV378" i="1" s="1"/>
  <c r="DO378" i="1"/>
  <c r="DM378" i="1"/>
  <c r="DK378" i="1"/>
  <c r="DI378" i="1"/>
  <c r="DE378" i="1"/>
  <c r="DC378" i="1"/>
  <c r="CY378" i="1"/>
  <c r="CU378" i="1"/>
  <c r="CS378" i="1"/>
  <c r="CQ378" i="1"/>
  <c r="CO378" i="1"/>
  <c r="CM378" i="1"/>
  <c r="CI378" i="1"/>
  <c r="CG378" i="1"/>
  <c r="CE378" i="1"/>
  <c r="CC378" i="1"/>
  <c r="CA378" i="1"/>
  <c r="BY378" i="1"/>
  <c r="BW378" i="1"/>
  <c r="BU378" i="1"/>
  <c r="BS378" i="1"/>
  <c r="BQ378" i="1"/>
  <c r="BO378" i="1"/>
  <c r="BM378" i="1"/>
  <c r="BI378" i="1"/>
  <c r="BG378" i="1"/>
  <c r="BE378" i="1"/>
  <c r="BC378" i="1"/>
  <c r="BA378" i="1"/>
  <c r="AY378" i="1"/>
  <c r="AU378" i="1"/>
  <c r="AS378" i="1"/>
  <c r="AQ378" i="1"/>
  <c r="AO378" i="1"/>
  <c r="AI378" i="1"/>
  <c r="AE378" i="1"/>
  <c r="AC378" i="1"/>
  <c r="AB378" i="1"/>
  <c r="W378" i="1"/>
  <c r="U378" i="1"/>
  <c r="S378" i="1"/>
  <c r="Q378" i="1"/>
  <c r="DS378" i="1" s="1"/>
  <c r="DW378" i="1" s="1"/>
  <c r="DO377" i="1"/>
  <c r="DM377" i="1"/>
  <c r="DK377" i="1"/>
  <c r="DI377" i="1"/>
  <c r="DG377" i="1"/>
  <c r="DC377" i="1"/>
  <c r="CY377" i="1"/>
  <c r="CU377" i="1"/>
  <c r="CS377" i="1"/>
  <c r="CQ377" i="1"/>
  <c r="CO377" i="1"/>
  <c r="CM377" i="1"/>
  <c r="CI377" i="1"/>
  <c r="CG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G377" i="1"/>
  <c r="BE377" i="1"/>
  <c r="BC377" i="1"/>
  <c r="BA377" i="1"/>
  <c r="AY377" i="1"/>
  <c r="AU377" i="1"/>
  <c r="AT377" i="1"/>
  <c r="AS377" i="1"/>
  <c r="AP377" i="1"/>
  <c r="AQ377" i="1" s="1"/>
  <c r="AO377" i="1"/>
  <c r="AI377" i="1"/>
  <c r="AE377" i="1"/>
  <c r="AC377" i="1"/>
  <c r="AB377" i="1"/>
  <c r="W377" i="1"/>
  <c r="U377" i="1"/>
  <c r="S377" i="1"/>
  <c r="Q377" i="1"/>
  <c r="DO376" i="1"/>
  <c r="DM376" i="1"/>
  <c r="DK376" i="1"/>
  <c r="DI376" i="1"/>
  <c r="DG376" i="1"/>
  <c r="DC376" i="1"/>
  <c r="CY376" i="1"/>
  <c r="CU376" i="1"/>
  <c r="CS376" i="1"/>
  <c r="CQ376" i="1"/>
  <c r="CO376" i="1"/>
  <c r="CM376" i="1"/>
  <c r="CI376" i="1"/>
  <c r="CG376" i="1"/>
  <c r="CE376" i="1"/>
  <c r="CC376" i="1"/>
  <c r="CA376" i="1"/>
  <c r="BY376" i="1"/>
  <c r="BW376" i="1"/>
  <c r="BU376" i="1"/>
  <c r="BS376" i="1"/>
  <c r="BQ376" i="1"/>
  <c r="BO376" i="1"/>
  <c r="BM376" i="1"/>
  <c r="BK376" i="1"/>
  <c r="BI376" i="1"/>
  <c r="BG376" i="1"/>
  <c r="BE376" i="1"/>
  <c r="BC376" i="1"/>
  <c r="BA376" i="1"/>
  <c r="AY376" i="1"/>
  <c r="AT376" i="1"/>
  <c r="AU376" i="1" s="1"/>
  <c r="AS376" i="1"/>
  <c r="AQ376" i="1"/>
  <c r="AO376" i="1"/>
  <c r="AI376" i="1"/>
  <c r="AE376" i="1"/>
  <c r="AC376" i="1"/>
  <c r="AB376" i="1"/>
  <c r="DR376" i="1" s="1"/>
  <c r="DV376" i="1" s="1"/>
  <c r="W376" i="1"/>
  <c r="U376" i="1"/>
  <c r="S376" i="1"/>
  <c r="Q376" i="1"/>
  <c r="DN375" i="1"/>
  <c r="DO375" i="1" s="1"/>
  <c r="DM375" i="1"/>
  <c r="DK375" i="1"/>
  <c r="DI375" i="1"/>
  <c r="DG375" i="1"/>
  <c r="DC375" i="1"/>
  <c r="CY375" i="1"/>
  <c r="CU375" i="1"/>
  <c r="CS375" i="1"/>
  <c r="CQ375" i="1"/>
  <c r="CO375" i="1"/>
  <c r="CM375" i="1"/>
  <c r="CI375" i="1"/>
  <c r="CG375" i="1"/>
  <c r="CE375" i="1"/>
  <c r="CC375" i="1"/>
  <c r="CA375" i="1"/>
  <c r="BY375" i="1"/>
  <c r="BW375" i="1"/>
  <c r="BU375" i="1"/>
  <c r="BS375" i="1"/>
  <c r="BQ375" i="1"/>
  <c r="BO375" i="1"/>
  <c r="BM375" i="1"/>
  <c r="BK375" i="1"/>
  <c r="BI375" i="1"/>
  <c r="BG375" i="1"/>
  <c r="BE375" i="1"/>
  <c r="BC375" i="1"/>
  <c r="BA375" i="1"/>
  <c r="AY375" i="1"/>
  <c r="AU375" i="1"/>
  <c r="AS375" i="1"/>
  <c r="AQ375" i="1"/>
  <c r="AO375" i="1"/>
  <c r="AI375" i="1"/>
  <c r="AE375" i="1"/>
  <c r="AC375" i="1"/>
  <c r="AB375" i="1"/>
  <c r="W375" i="1"/>
  <c r="U375" i="1"/>
  <c r="S375" i="1"/>
  <c r="Q375" i="1"/>
  <c r="DO374" i="1"/>
  <c r="DM374" i="1"/>
  <c r="DK374" i="1"/>
  <c r="DI374" i="1"/>
  <c r="DG374" i="1"/>
  <c r="DC374" i="1"/>
  <c r="CY374" i="1"/>
  <c r="CU374" i="1"/>
  <c r="CS374" i="1"/>
  <c r="CQ374" i="1"/>
  <c r="CO374" i="1"/>
  <c r="CM374" i="1"/>
  <c r="CI374" i="1"/>
  <c r="CG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G374" i="1"/>
  <c r="BE374" i="1"/>
  <c r="BC374" i="1"/>
  <c r="BA374" i="1"/>
  <c r="AY374" i="1"/>
  <c r="AU374" i="1"/>
  <c r="AS374" i="1"/>
  <c r="AQ374" i="1"/>
  <c r="AO374" i="1"/>
  <c r="AI374" i="1"/>
  <c r="AE374" i="1"/>
  <c r="AC374" i="1"/>
  <c r="AB374" i="1"/>
  <c r="DR374" i="1" s="1"/>
  <c r="DV374" i="1" s="1"/>
  <c r="W374" i="1"/>
  <c r="U374" i="1"/>
  <c r="S374" i="1"/>
  <c r="Q374" i="1"/>
  <c r="DO373" i="1"/>
  <c r="DM373" i="1"/>
  <c r="DK373" i="1"/>
  <c r="DI373" i="1"/>
  <c r="DG373" i="1"/>
  <c r="DC373" i="1"/>
  <c r="CY373" i="1"/>
  <c r="CU373" i="1"/>
  <c r="CS373" i="1"/>
  <c r="CQ373" i="1"/>
  <c r="CO373" i="1"/>
  <c r="CM373" i="1"/>
  <c r="CI373" i="1"/>
  <c r="CG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G373" i="1"/>
  <c r="BE373" i="1"/>
  <c r="BC373" i="1"/>
  <c r="BA373" i="1"/>
  <c r="AY373" i="1"/>
  <c r="AU373" i="1"/>
  <c r="AS373" i="1"/>
  <c r="AQ373" i="1"/>
  <c r="AO373" i="1"/>
  <c r="AI373" i="1"/>
  <c r="AE373" i="1"/>
  <c r="AC373" i="1"/>
  <c r="AB373" i="1"/>
  <c r="DR373" i="1" s="1"/>
  <c r="DV373" i="1" s="1"/>
  <c r="W373" i="1"/>
  <c r="U373" i="1"/>
  <c r="S373" i="1"/>
  <c r="Q373" i="1"/>
  <c r="DO372" i="1"/>
  <c r="DM372" i="1"/>
  <c r="DK372" i="1"/>
  <c r="DI372" i="1"/>
  <c r="DE372" i="1"/>
  <c r="DC372" i="1"/>
  <c r="CY372" i="1"/>
  <c r="CU372" i="1"/>
  <c r="CS372" i="1"/>
  <c r="CQ372" i="1"/>
  <c r="CO372" i="1"/>
  <c r="CM372" i="1"/>
  <c r="CI372" i="1"/>
  <c r="CG372" i="1"/>
  <c r="CE372" i="1"/>
  <c r="CC372" i="1"/>
  <c r="CA372" i="1"/>
  <c r="BY372" i="1"/>
  <c r="BW372" i="1"/>
  <c r="BU372" i="1"/>
  <c r="BS372" i="1"/>
  <c r="BQ372" i="1"/>
  <c r="BO372" i="1"/>
  <c r="BM372" i="1"/>
  <c r="BI372" i="1"/>
  <c r="BG372" i="1"/>
  <c r="BE372" i="1"/>
  <c r="BC372" i="1"/>
  <c r="BA372" i="1"/>
  <c r="AY372" i="1"/>
  <c r="AU372" i="1"/>
  <c r="AS372" i="1"/>
  <c r="AQ372" i="1"/>
  <c r="AO372" i="1"/>
  <c r="AI372" i="1"/>
  <c r="AE372" i="1"/>
  <c r="AC372" i="1"/>
  <c r="AB372" i="1"/>
  <c r="DR372" i="1" s="1"/>
  <c r="DV372" i="1" s="1"/>
  <c r="W372" i="1"/>
  <c r="U372" i="1"/>
  <c r="S372" i="1"/>
  <c r="Q372" i="1"/>
  <c r="DO371" i="1"/>
  <c r="DM371" i="1"/>
  <c r="DK371" i="1"/>
  <c r="DI371" i="1"/>
  <c r="DG371" i="1"/>
  <c r="DC371" i="1"/>
  <c r="CY371" i="1"/>
  <c r="CU371" i="1"/>
  <c r="CS371" i="1"/>
  <c r="CQ371" i="1"/>
  <c r="CO371" i="1"/>
  <c r="CM371" i="1"/>
  <c r="CI371" i="1"/>
  <c r="CG371" i="1"/>
  <c r="CE371" i="1"/>
  <c r="CC371" i="1"/>
  <c r="CA371" i="1"/>
  <c r="BY371" i="1"/>
  <c r="BW371" i="1"/>
  <c r="BU371" i="1"/>
  <c r="BS371" i="1"/>
  <c r="BQ371" i="1"/>
  <c r="BO371" i="1"/>
  <c r="BM371" i="1"/>
  <c r="BK371" i="1"/>
  <c r="BI371" i="1"/>
  <c r="BG371" i="1"/>
  <c r="BE371" i="1"/>
  <c r="BC371" i="1"/>
  <c r="BA371" i="1"/>
  <c r="AY371" i="1"/>
  <c r="AU371" i="1"/>
  <c r="AS371" i="1"/>
  <c r="AP371" i="1"/>
  <c r="AO371" i="1"/>
  <c r="AI371" i="1"/>
  <c r="AE371" i="1"/>
  <c r="AC371" i="1"/>
  <c r="AB371" i="1"/>
  <c r="DR371" i="1" s="1"/>
  <c r="DV371" i="1" s="1"/>
  <c r="W371" i="1"/>
  <c r="U371" i="1"/>
  <c r="S371" i="1"/>
  <c r="Q371" i="1"/>
  <c r="DO370" i="1"/>
  <c r="DM370" i="1"/>
  <c r="DK370" i="1"/>
  <c r="DI370" i="1"/>
  <c r="DG370" i="1"/>
  <c r="DC370" i="1"/>
  <c r="CY370" i="1"/>
  <c r="CU370" i="1"/>
  <c r="CS370" i="1"/>
  <c r="CQ370" i="1"/>
  <c r="CO370" i="1"/>
  <c r="CM370" i="1"/>
  <c r="CI370" i="1"/>
  <c r="CG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G370" i="1"/>
  <c r="BE370" i="1"/>
  <c r="BC370" i="1"/>
  <c r="BA370" i="1"/>
  <c r="AY370" i="1"/>
  <c r="AU370" i="1"/>
  <c r="AS370" i="1"/>
  <c r="AQ370" i="1"/>
  <c r="AO370" i="1"/>
  <c r="AI370" i="1"/>
  <c r="AE370" i="1"/>
  <c r="AC370" i="1"/>
  <c r="AB370" i="1"/>
  <c r="DR370" i="1" s="1"/>
  <c r="DV370" i="1" s="1"/>
  <c r="W370" i="1"/>
  <c r="U370" i="1"/>
  <c r="S370" i="1"/>
  <c r="Q370" i="1"/>
  <c r="DN369" i="1"/>
  <c r="DO369" i="1" s="1"/>
  <c r="DM369" i="1"/>
  <c r="DK369" i="1"/>
  <c r="DI369" i="1"/>
  <c r="DG369" i="1"/>
  <c r="DC369" i="1"/>
  <c r="CY369" i="1"/>
  <c r="CU369" i="1"/>
  <c r="CS369" i="1"/>
  <c r="CQ369" i="1"/>
  <c r="CO369" i="1"/>
  <c r="CM369" i="1"/>
  <c r="CI369" i="1"/>
  <c r="CG369" i="1"/>
  <c r="CE369" i="1"/>
  <c r="CC369" i="1"/>
  <c r="CA369" i="1"/>
  <c r="BY369" i="1"/>
  <c r="BW369" i="1"/>
  <c r="BU369" i="1"/>
  <c r="BS369" i="1"/>
  <c r="BQ369" i="1"/>
  <c r="BQ368" i="1" s="1"/>
  <c r="BO369" i="1"/>
  <c r="BM369" i="1"/>
  <c r="BK369" i="1"/>
  <c r="BI369" i="1"/>
  <c r="BG369" i="1"/>
  <c r="BE369" i="1"/>
  <c r="BC369" i="1"/>
  <c r="BA369" i="1"/>
  <c r="AY369" i="1"/>
  <c r="AW369" i="1"/>
  <c r="AW368" i="1" s="1"/>
  <c r="AT369" i="1"/>
  <c r="AS369" i="1"/>
  <c r="AP369" i="1"/>
  <c r="AQ369" i="1" s="1"/>
  <c r="AO369" i="1"/>
  <c r="AI369" i="1"/>
  <c r="AE369" i="1"/>
  <c r="AC369" i="1"/>
  <c r="AB369" i="1"/>
  <c r="W369" i="1"/>
  <c r="U369" i="1"/>
  <c r="S369" i="1"/>
  <c r="Q369" i="1"/>
  <c r="DQ368" i="1"/>
  <c r="DP368" i="1"/>
  <c r="DL368" i="1"/>
  <c r="DJ368" i="1"/>
  <c r="DF368" i="1"/>
  <c r="DD368" i="1"/>
  <c r="DB368" i="1"/>
  <c r="CZ368" i="1"/>
  <c r="CX368" i="1"/>
  <c r="CV368" i="1"/>
  <c r="CT368" i="1"/>
  <c r="CR368" i="1"/>
  <c r="CP368" i="1"/>
  <c r="CN368" i="1"/>
  <c r="CL368" i="1"/>
  <c r="CK368" i="1"/>
  <c r="CJ368" i="1"/>
  <c r="CH368" i="1"/>
  <c r="CF368" i="1"/>
  <c r="CD368" i="1"/>
  <c r="CB368" i="1"/>
  <c r="BZ368" i="1"/>
  <c r="BX368" i="1"/>
  <c r="BV368" i="1"/>
  <c r="BT368" i="1"/>
  <c r="BR368" i="1"/>
  <c r="BP368" i="1"/>
  <c r="BN368" i="1"/>
  <c r="BL368" i="1"/>
  <c r="BJ368" i="1"/>
  <c r="BH368" i="1"/>
  <c r="BF368" i="1"/>
  <c r="BD368" i="1"/>
  <c r="BB368" i="1"/>
  <c r="AZ368" i="1"/>
  <c r="AX368" i="1"/>
  <c r="AV368" i="1"/>
  <c r="AR368" i="1"/>
  <c r="AN368" i="1"/>
  <c r="AM368" i="1"/>
  <c r="AL368" i="1"/>
  <c r="AK368" i="1"/>
  <c r="AJ368" i="1"/>
  <c r="AH368" i="1"/>
  <c r="AG368" i="1"/>
  <c r="AF368" i="1"/>
  <c r="AD368" i="1"/>
  <c r="V368" i="1"/>
  <c r="T368" i="1"/>
  <c r="R368" i="1"/>
  <c r="P368" i="1"/>
  <c r="DO367" i="1"/>
  <c r="DN367" i="1"/>
  <c r="DM367" i="1"/>
  <c r="DK367" i="1"/>
  <c r="DI367" i="1"/>
  <c r="DG367" i="1"/>
  <c r="DC367" i="1"/>
  <c r="CY367" i="1"/>
  <c r="CU367" i="1"/>
  <c r="CS367" i="1"/>
  <c r="CQ367" i="1"/>
  <c r="CO367" i="1"/>
  <c r="CM367" i="1"/>
  <c r="CI367" i="1"/>
  <c r="CG367" i="1"/>
  <c r="CE367" i="1"/>
  <c r="CC367" i="1"/>
  <c r="CA367" i="1"/>
  <c r="BY367" i="1"/>
  <c r="BW367" i="1"/>
  <c r="BU367" i="1"/>
  <c r="BS367" i="1"/>
  <c r="BQ367" i="1"/>
  <c r="BO367" i="1"/>
  <c r="BM367" i="1"/>
  <c r="BK367" i="1"/>
  <c r="BI367" i="1"/>
  <c r="BG367" i="1"/>
  <c r="BE367" i="1"/>
  <c r="BC367" i="1"/>
  <c r="BA367" i="1"/>
  <c r="AY367" i="1"/>
  <c r="AU367" i="1"/>
  <c r="AS367" i="1"/>
  <c r="AQ367" i="1"/>
  <c r="AO367" i="1"/>
  <c r="AI367" i="1"/>
  <c r="AE367" i="1"/>
  <c r="AC367" i="1"/>
  <c r="AB367" i="1"/>
  <c r="W367" i="1"/>
  <c r="U367" i="1"/>
  <c r="S367" i="1"/>
  <c r="Q367" i="1"/>
  <c r="DO366" i="1"/>
  <c r="DN366" i="1"/>
  <c r="DL366" i="1"/>
  <c r="DM366" i="1" s="1"/>
  <c r="DK366" i="1"/>
  <c r="DH366" i="1"/>
  <c r="DI366" i="1" s="1"/>
  <c r="DE366" i="1"/>
  <c r="DC366" i="1"/>
  <c r="CY366" i="1"/>
  <c r="CU366" i="1"/>
  <c r="CS366" i="1"/>
  <c r="CQ366" i="1"/>
  <c r="CO366" i="1"/>
  <c r="CM366" i="1"/>
  <c r="CI366" i="1"/>
  <c r="CG366" i="1"/>
  <c r="CE366" i="1"/>
  <c r="CC366" i="1"/>
  <c r="CA366" i="1"/>
  <c r="BY366" i="1"/>
  <c r="BW366" i="1"/>
  <c r="BU366" i="1"/>
  <c r="BS366" i="1"/>
  <c r="BQ366" i="1"/>
  <c r="BO366" i="1"/>
  <c r="BM366" i="1"/>
  <c r="BI366" i="1"/>
  <c r="BG366" i="1"/>
  <c r="BE366" i="1"/>
  <c r="BC366" i="1"/>
  <c r="BA366" i="1"/>
  <c r="AY366" i="1"/>
  <c r="AU366" i="1"/>
  <c r="AS366" i="1"/>
  <c r="AP366" i="1"/>
  <c r="AI366" i="1"/>
  <c r="AE366" i="1"/>
  <c r="AC366" i="1"/>
  <c r="AB366" i="1"/>
  <c r="W366" i="1"/>
  <c r="U366" i="1"/>
  <c r="S366" i="1"/>
  <c r="Q366" i="1"/>
  <c r="DN365" i="1"/>
  <c r="DO365" i="1" s="1"/>
  <c r="DM365" i="1"/>
  <c r="DK365" i="1"/>
  <c r="DH365" i="1"/>
  <c r="DI365" i="1" s="1"/>
  <c r="DG365" i="1"/>
  <c r="DC365" i="1"/>
  <c r="CY365" i="1"/>
  <c r="CU365" i="1"/>
  <c r="CS365" i="1"/>
  <c r="CQ365" i="1"/>
  <c r="CO365" i="1"/>
  <c r="CM365" i="1"/>
  <c r="CI365" i="1"/>
  <c r="CG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G365" i="1"/>
  <c r="BE365" i="1"/>
  <c r="BC365" i="1"/>
  <c r="BA365" i="1"/>
  <c r="AY365" i="1"/>
  <c r="AU365" i="1"/>
  <c r="AS365" i="1"/>
  <c r="AQ365" i="1"/>
  <c r="AO365" i="1"/>
  <c r="AI365" i="1"/>
  <c r="AE365" i="1"/>
  <c r="AC365" i="1"/>
  <c r="AB365" i="1"/>
  <c r="DR365" i="1" s="1"/>
  <c r="DV365" i="1" s="1"/>
  <c r="W365" i="1"/>
  <c r="U365" i="1"/>
  <c r="S365" i="1"/>
  <c r="Q365" i="1"/>
  <c r="DN364" i="1"/>
  <c r="DO364" i="1" s="1"/>
  <c r="DM364" i="1"/>
  <c r="DK364" i="1"/>
  <c r="DI364" i="1"/>
  <c r="DG364" i="1"/>
  <c r="DC364" i="1"/>
  <c r="CY364" i="1"/>
  <c r="CU364" i="1"/>
  <c r="CS364" i="1"/>
  <c r="CQ364" i="1"/>
  <c r="CO364" i="1"/>
  <c r="CM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G364" i="1"/>
  <c r="BE364" i="1"/>
  <c r="BC364" i="1"/>
  <c r="BA364" i="1"/>
  <c r="AY364" i="1"/>
  <c r="AU364" i="1"/>
  <c r="AT364" i="1"/>
  <c r="AS364" i="1"/>
  <c r="AQ364" i="1"/>
  <c r="AO364" i="1"/>
  <c r="AI364" i="1"/>
  <c r="AE364" i="1"/>
  <c r="AC364" i="1"/>
  <c r="AB364" i="1"/>
  <c r="W364" i="1"/>
  <c r="U364" i="1"/>
  <c r="S364" i="1"/>
  <c r="Q364" i="1"/>
  <c r="DV363" i="1"/>
  <c r="DR363" i="1"/>
  <c r="DO363" i="1"/>
  <c r="DM363" i="1"/>
  <c r="DK363" i="1"/>
  <c r="DI363" i="1"/>
  <c r="DG363" i="1"/>
  <c r="DC363" i="1"/>
  <c r="CY363" i="1"/>
  <c r="CU363" i="1"/>
  <c r="CS363" i="1"/>
  <c r="CQ363" i="1"/>
  <c r="CO363" i="1"/>
  <c r="CM363" i="1"/>
  <c r="CI363" i="1"/>
  <c r="CG363" i="1"/>
  <c r="CE363" i="1"/>
  <c r="CC363" i="1"/>
  <c r="CA363" i="1"/>
  <c r="BY363" i="1"/>
  <c r="BW363" i="1"/>
  <c r="BU363" i="1"/>
  <c r="BS363" i="1"/>
  <c r="BQ363" i="1"/>
  <c r="BO363" i="1"/>
  <c r="BM363" i="1"/>
  <c r="BK363" i="1"/>
  <c r="BI363" i="1"/>
  <c r="BG363" i="1"/>
  <c r="BE363" i="1"/>
  <c r="BC363" i="1"/>
  <c r="BA363" i="1"/>
  <c r="AY363" i="1"/>
  <c r="AU363" i="1"/>
  <c r="AS363" i="1"/>
  <c r="AQ363" i="1"/>
  <c r="AO363" i="1"/>
  <c r="AI363" i="1"/>
  <c r="AE363" i="1"/>
  <c r="AC363" i="1"/>
  <c r="AB363" i="1"/>
  <c r="W363" i="1"/>
  <c r="U363" i="1"/>
  <c r="S363" i="1"/>
  <c r="Q363" i="1"/>
  <c r="DO362" i="1"/>
  <c r="DM362" i="1"/>
  <c r="DK362" i="1"/>
  <c r="DI362" i="1"/>
  <c r="DG362" i="1"/>
  <c r="DC362" i="1"/>
  <c r="CY362" i="1"/>
  <c r="CU362" i="1"/>
  <c r="CS362" i="1"/>
  <c r="CQ362" i="1"/>
  <c r="CO362" i="1"/>
  <c r="CM362" i="1"/>
  <c r="CI362" i="1"/>
  <c r="CG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U362" i="1"/>
  <c r="AT362" i="1"/>
  <c r="DR362" i="1" s="1"/>
  <c r="DV362" i="1" s="1"/>
  <c r="AS362" i="1"/>
  <c r="AQ362" i="1"/>
  <c r="AO362" i="1"/>
  <c r="AI362" i="1"/>
  <c r="AE362" i="1"/>
  <c r="AC362" i="1"/>
  <c r="AB362" i="1"/>
  <c r="W362" i="1"/>
  <c r="U362" i="1"/>
  <c r="S362" i="1"/>
  <c r="Q362" i="1"/>
  <c r="DS362" i="1" s="1"/>
  <c r="DW362" i="1" s="1"/>
  <c r="DN361" i="1"/>
  <c r="DO361" i="1" s="1"/>
  <c r="DM361" i="1"/>
  <c r="DK361" i="1"/>
  <c r="DI361" i="1"/>
  <c r="DG361" i="1"/>
  <c r="DC361" i="1"/>
  <c r="CY361" i="1"/>
  <c r="CU361" i="1"/>
  <c r="CS361" i="1"/>
  <c r="CQ361" i="1"/>
  <c r="CO361" i="1"/>
  <c r="CM361" i="1"/>
  <c r="CI361" i="1"/>
  <c r="CG361" i="1"/>
  <c r="CE361" i="1"/>
  <c r="CC361" i="1"/>
  <c r="CA361" i="1"/>
  <c r="BY361" i="1"/>
  <c r="BW361" i="1"/>
  <c r="BU361" i="1"/>
  <c r="BS361" i="1"/>
  <c r="BQ361" i="1"/>
  <c r="BO361" i="1"/>
  <c r="BM361" i="1"/>
  <c r="BK361" i="1"/>
  <c r="BI361" i="1"/>
  <c r="BG361" i="1"/>
  <c r="BE361" i="1"/>
  <c r="BC361" i="1"/>
  <c r="BA361" i="1"/>
  <c r="AY361" i="1"/>
  <c r="AU361" i="1"/>
  <c r="AT361" i="1"/>
  <c r="AS361" i="1"/>
  <c r="AQ361" i="1"/>
  <c r="AO361" i="1"/>
  <c r="AI361" i="1"/>
  <c r="AE361" i="1"/>
  <c r="AC361" i="1"/>
  <c r="AB361" i="1"/>
  <c r="W361" i="1"/>
  <c r="U361" i="1"/>
  <c r="DS361" i="1" s="1"/>
  <c r="DW361" i="1" s="1"/>
  <c r="S361" i="1"/>
  <c r="Q361" i="1"/>
  <c r="DO360" i="1"/>
  <c r="DN360" i="1"/>
  <c r="DL360" i="1"/>
  <c r="DK360" i="1"/>
  <c r="DH360" i="1"/>
  <c r="DE360" i="1"/>
  <c r="DC360" i="1"/>
  <c r="CY360" i="1"/>
  <c r="CU360" i="1"/>
  <c r="CS360" i="1"/>
  <c r="CQ360" i="1"/>
  <c r="CO360" i="1"/>
  <c r="CM360" i="1"/>
  <c r="CI360" i="1"/>
  <c r="CG360" i="1"/>
  <c r="CE360" i="1"/>
  <c r="CC360" i="1"/>
  <c r="CA360" i="1"/>
  <c r="BY360" i="1"/>
  <c r="BW360" i="1"/>
  <c r="BU360" i="1"/>
  <c r="BS360" i="1"/>
  <c r="BQ360" i="1"/>
  <c r="BO360" i="1"/>
  <c r="BM360" i="1"/>
  <c r="BI360" i="1"/>
  <c r="BG360" i="1"/>
  <c r="BE360" i="1"/>
  <c r="BC360" i="1"/>
  <c r="BA360" i="1"/>
  <c r="AY360" i="1"/>
  <c r="AU360" i="1"/>
  <c r="AS360" i="1"/>
  <c r="AQ360" i="1"/>
  <c r="AO360" i="1"/>
  <c r="AI360" i="1"/>
  <c r="AE360" i="1"/>
  <c r="AC360" i="1"/>
  <c r="AB360" i="1"/>
  <c r="W360" i="1"/>
  <c r="U360" i="1"/>
  <c r="S360" i="1"/>
  <c r="Q360" i="1"/>
  <c r="DN359" i="1"/>
  <c r="DO359" i="1" s="1"/>
  <c r="DM359" i="1"/>
  <c r="DK359" i="1"/>
  <c r="DH359" i="1"/>
  <c r="DI359" i="1" s="1"/>
  <c r="DG359" i="1"/>
  <c r="DC359" i="1"/>
  <c r="CY359" i="1"/>
  <c r="CU359" i="1"/>
  <c r="CS359" i="1"/>
  <c r="CQ359" i="1"/>
  <c r="CO359" i="1"/>
  <c r="CM359" i="1"/>
  <c r="CI359" i="1"/>
  <c r="CG359" i="1"/>
  <c r="CE359" i="1"/>
  <c r="CC359" i="1"/>
  <c r="CA359" i="1"/>
  <c r="BY359" i="1"/>
  <c r="BW359" i="1"/>
  <c r="BU359" i="1"/>
  <c r="BS359" i="1"/>
  <c r="BQ359" i="1"/>
  <c r="BO359" i="1"/>
  <c r="BM359" i="1"/>
  <c r="BK359" i="1"/>
  <c r="BI359" i="1"/>
  <c r="BG359" i="1"/>
  <c r="BE359" i="1"/>
  <c r="BC359" i="1"/>
  <c r="BA359" i="1"/>
  <c r="AY359" i="1"/>
  <c r="AT359" i="1"/>
  <c r="AU359" i="1" s="1"/>
  <c r="AS359" i="1"/>
  <c r="AQ359" i="1"/>
  <c r="AO359" i="1"/>
  <c r="AI359" i="1"/>
  <c r="AE359" i="1"/>
  <c r="AC359" i="1"/>
  <c r="AB359" i="1"/>
  <c r="W359" i="1"/>
  <c r="U359" i="1"/>
  <c r="S359" i="1"/>
  <c r="Q359" i="1"/>
  <c r="DO358" i="1"/>
  <c r="DM358" i="1"/>
  <c r="DK358" i="1"/>
  <c r="DI358" i="1"/>
  <c r="DE358" i="1"/>
  <c r="DC358" i="1"/>
  <c r="CY358" i="1"/>
  <c r="CU358" i="1"/>
  <c r="CS358" i="1"/>
  <c r="CQ358" i="1"/>
  <c r="CO358" i="1"/>
  <c r="CM358" i="1"/>
  <c r="CI358" i="1"/>
  <c r="CG358" i="1"/>
  <c r="CE358" i="1"/>
  <c r="CC358" i="1"/>
  <c r="CA358" i="1"/>
  <c r="BY358" i="1"/>
  <c r="BW358" i="1"/>
  <c r="BU358" i="1"/>
  <c r="BS358" i="1"/>
  <c r="BQ358" i="1"/>
  <c r="BO358" i="1"/>
  <c r="BM358" i="1"/>
  <c r="BI358" i="1"/>
  <c r="BG358" i="1"/>
  <c r="BE358" i="1"/>
  <c r="BC358" i="1"/>
  <c r="BA358" i="1"/>
  <c r="AY358" i="1"/>
  <c r="AU358" i="1"/>
  <c r="AS358" i="1"/>
  <c r="AQ358" i="1"/>
  <c r="AO358" i="1"/>
  <c r="AI358" i="1"/>
  <c r="AE358" i="1"/>
  <c r="AC358" i="1"/>
  <c r="AB358" i="1"/>
  <c r="DR358" i="1" s="1"/>
  <c r="DV358" i="1" s="1"/>
  <c r="W358" i="1"/>
  <c r="U358" i="1"/>
  <c r="S358" i="1"/>
  <c r="Q358" i="1"/>
  <c r="DO357" i="1"/>
  <c r="DM357" i="1"/>
  <c r="DK357" i="1"/>
  <c r="DI357" i="1"/>
  <c r="DE357" i="1"/>
  <c r="DC357" i="1"/>
  <c r="CY357" i="1"/>
  <c r="CU357" i="1"/>
  <c r="CS357" i="1"/>
  <c r="CQ357" i="1"/>
  <c r="CO357" i="1"/>
  <c r="CM357" i="1"/>
  <c r="CI357" i="1"/>
  <c r="CG357" i="1"/>
  <c r="CE357" i="1"/>
  <c r="CC357" i="1"/>
  <c r="CA357" i="1"/>
  <c r="BY357" i="1"/>
  <c r="BW357" i="1"/>
  <c r="BU357" i="1"/>
  <c r="BS357" i="1"/>
  <c r="BQ357" i="1"/>
  <c r="BO357" i="1"/>
  <c r="BM357" i="1"/>
  <c r="BI357" i="1"/>
  <c r="BG357" i="1"/>
  <c r="BE357" i="1"/>
  <c r="BC357" i="1"/>
  <c r="BA357" i="1"/>
  <c r="AY357" i="1"/>
  <c r="AU357" i="1"/>
  <c r="AT357" i="1"/>
  <c r="AS357" i="1"/>
  <c r="AQ357" i="1"/>
  <c r="AO357" i="1"/>
  <c r="AI357" i="1"/>
  <c r="AE357" i="1"/>
  <c r="AC357" i="1"/>
  <c r="AB357" i="1"/>
  <c r="W357" i="1"/>
  <c r="U357" i="1"/>
  <c r="S357" i="1"/>
  <c r="Q357" i="1"/>
  <c r="DO356" i="1"/>
  <c r="DM356" i="1"/>
  <c r="DK356" i="1"/>
  <c r="DI356" i="1"/>
  <c r="DG356" i="1"/>
  <c r="DC356" i="1"/>
  <c r="CY356" i="1"/>
  <c r="CU356" i="1"/>
  <c r="CS356" i="1"/>
  <c r="CQ356" i="1"/>
  <c r="CO356" i="1"/>
  <c r="CM356" i="1"/>
  <c r="CI356" i="1"/>
  <c r="CG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G356" i="1"/>
  <c r="BE356" i="1"/>
  <c r="BC356" i="1"/>
  <c r="BA356" i="1"/>
  <c r="AY356" i="1"/>
  <c r="AU356" i="1"/>
  <c r="AS356" i="1"/>
  <c r="AQ356" i="1"/>
  <c r="AO356" i="1"/>
  <c r="AI356" i="1"/>
  <c r="AE356" i="1"/>
  <c r="AC356" i="1"/>
  <c r="AB356" i="1"/>
  <c r="DR356" i="1" s="1"/>
  <c r="DV356" i="1" s="1"/>
  <c r="W356" i="1"/>
  <c r="U356" i="1"/>
  <c r="S356" i="1"/>
  <c r="Q356" i="1"/>
  <c r="DO355" i="1"/>
  <c r="DM355" i="1"/>
  <c r="DK355" i="1"/>
  <c r="DI355" i="1"/>
  <c r="DG355" i="1"/>
  <c r="DC355" i="1"/>
  <c r="CY355" i="1"/>
  <c r="CU355" i="1"/>
  <c r="CS355" i="1"/>
  <c r="CQ355" i="1"/>
  <c r="CO355" i="1"/>
  <c r="CM355" i="1"/>
  <c r="CI355" i="1"/>
  <c r="CG355" i="1"/>
  <c r="CE355" i="1"/>
  <c r="CC355" i="1"/>
  <c r="CA355" i="1"/>
  <c r="BY355" i="1"/>
  <c r="BW355" i="1"/>
  <c r="BU355" i="1"/>
  <c r="BS355" i="1"/>
  <c r="BQ355" i="1"/>
  <c r="BO355" i="1"/>
  <c r="BM355" i="1"/>
  <c r="BK355" i="1"/>
  <c r="BI355" i="1"/>
  <c r="BG355" i="1"/>
  <c r="BE355" i="1"/>
  <c r="BC355" i="1"/>
  <c r="BA355" i="1"/>
  <c r="AY355" i="1"/>
  <c r="AU355" i="1"/>
  <c r="AS355" i="1"/>
  <c r="AQ355" i="1"/>
  <c r="AO355" i="1"/>
  <c r="AI355" i="1"/>
  <c r="AE355" i="1"/>
  <c r="AC355" i="1"/>
  <c r="AB355" i="1"/>
  <c r="DR355" i="1" s="1"/>
  <c r="DV355" i="1" s="1"/>
  <c r="W355" i="1"/>
  <c r="U355" i="1"/>
  <c r="S355" i="1"/>
  <c r="Q355" i="1"/>
  <c r="DR354" i="1"/>
  <c r="DV354" i="1" s="1"/>
  <c r="DO354" i="1"/>
  <c r="DM354" i="1"/>
  <c r="DK354" i="1"/>
  <c r="DI354" i="1"/>
  <c r="DG354" i="1"/>
  <c r="DC354" i="1"/>
  <c r="CY354" i="1"/>
  <c r="CU354" i="1"/>
  <c r="CS354" i="1"/>
  <c r="CQ354" i="1"/>
  <c r="CO354" i="1"/>
  <c r="CM354" i="1"/>
  <c r="CI354" i="1"/>
  <c r="CG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G354" i="1"/>
  <c r="BE354" i="1"/>
  <c r="BC354" i="1"/>
  <c r="BA354" i="1"/>
  <c r="BA348" i="1" s="1"/>
  <c r="AY354" i="1"/>
  <c r="AT354" i="1"/>
  <c r="AU354" i="1" s="1"/>
  <c r="AS354" i="1"/>
  <c r="AQ354" i="1"/>
  <c r="AO354" i="1"/>
  <c r="AI354" i="1"/>
  <c r="AE354" i="1"/>
  <c r="AC354" i="1"/>
  <c r="AB354" i="1"/>
  <c r="W354" i="1"/>
  <c r="U354" i="1"/>
  <c r="S354" i="1"/>
  <c r="Q354" i="1"/>
  <c r="DR353" i="1"/>
  <c r="DV353" i="1" s="1"/>
  <c r="DO353" i="1"/>
  <c r="DM353" i="1"/>
  <c r="DK353" i="1"/>
  <c r="DI353" i="1"/>
  <c r="DG353" i="1"/>
  <c r="DC353" i="1"/>
  <c r="CY353" i="1"/>
  <c r="CU353" i="1"/>
  <c r="CS353" i="1"/>
  <c r="CQ353" i="1"/>
  <c r="CO353" i="1"/>
  <c r="CM353" i="1"/>
  <c r="CI353" i="1"/>
  <c r="CG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G353" i="1"/>
  <c r="BE353" i="1"/>
  <c r="BC353" i="1"/>
  <c r="BA353" i="1"/>
  <c r="AY353" i="1"/>
  <c r="AT353" i="1"/>
  <c r="AU353" i="1" s="1"/>
  <c r="AS353" i="1"/>
  <c r="AQ353" i="1"/>
  <c r="AO353" i="1"/>
  <c r="AI353" i="1"/>
  <c r="AE353" i="1"/>
  <c r="AC353" i="1"/>
  <c r="AB353" i="1"/>
  <c r="W353" i="1"/>
  <c r="U353" i="1"/>
  <c r="S353" i="1"/>
  <c r="Q353" i="1"/>
  <c r="DO352" i="1"/>
  <c r="DM352" i="1"/>
  <c r="DK352" i="1"/>
  <c r="DI352" i="1"/>
  <c r="DG352" i="1"/>
  <c r="DC352" i="1"/>
  <c r="CY352" i="1"/>
  <c r="CU352" i="1"/>
  <c r="CS352" i="1"/>
  <c r="CQ352" i="1"/>
  <c r="CO352" i="1"/>
  <c r="CM352" i="1"/>
  <c r="CI352" i="1"/>
  <c r="CG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T352" i="1"/>
  <c r="AU352" i="1" s="1"/>
  <c r="AS352" i="1"/>
  <c r="AQ352" i="1"/>
  <c r="AO352" i="1"/>
  <c r="AI352" i="1"/>
  <c r="AE352" i="1"/>
  <c r="AC352" i="1"/>
  <c r="AB352" i="1"/>
  <c r="DR352" i="1" s="1"/>
  <c r="DV352" i="1" s="1"/>
  <c r="W352" i="1"/>
  <c r="U352" i="1"/>
  <c r="S352" i="1"/>
  <c r="Q352" i="1"/>
  <c r="DN351" i="1"/>
  <c r="DO351" i="1" s="1"/>
  <c r="DM351" i="1"/>
  <c r="DK351" i="1"/>
  <c r="DH351" i="1"/>
  <c r="DG351" i="1"/>
  <c r="DC351" i="1"/>
  <c r="CY351" i="1"/>
  <c r="CU351" i="1"/>
  <c r="CS351" i="1"/>
  <c r="CQ351" i="1"/>
  <c r="CO351" i="1"/>
  <c r="CM351" i="1"/>
  <c r="CI351" i="1"/>
  <c r="CG351" i="1"/>
  <c r="CE351" i="1"/>
  <c r="CC351" i="1"/>
  <c r="CA351" i="1"/>
  <c r="BY351" i="1"/>
  <c r="BW351" i="1"/>
  <c r="BU351" i="1"/>
  <c r="BS351" i="1"/>
  <c r="BQ351" i="1"/>
  <c r="BO351" i="1"/>
  <c r="BM351" i="1"/>
  <c r="BK351" i="1"/>
  <c r="BI351" i="1"/>
  <c r="BG351" i="1"/>
  <c r="BE351" i="1"/>
  <c r="BC351" i="1"/>
  <c r="BA351" i="1"/>
  <c r="AY351" i="1"/>
  <c r="AU351" i="1"/>
  <c r="AT351" i="1"/>
  <c r="AS351" i="1"/>
  <c r="AQ351" i="1"/>
  <c r="AI351" i="1"/>
  <c r="AE351" i="1"/>
  <c r="AC351" i="1"/>
  <c r="AB351" i="1"/>
  <c r="W351" i="1"/>
  <c r="U351" i="1"/>
  <c r="S351" i="1"/>
  <c r="Q351" i="1"/>
  <c r="DN350" i="1"/>
  <c r="DM350" i="1"/>
  <c r="DL350" i="1"/>
  <c r="DK350" i="1"/>
  <c r="DH350" i="1"/>
  <c r="DI350" i="1" s="1"/>
  <c r="DE350" i="1"/>
  <c r="DE348" i="1" s="1"/>
  <c r="DC350" i="1"/>
  <c r="CY350" i="1"/>
  <c r="CU350" i="1"/>
  <c r="CS350" i="1"/>
  <c r="CQ350" i="1"/>
  <c r="CO350" i="1"/>
  <c r="CM350" i="1"/>
  <c r="CI350" i="1"/>
  <c r="CG350" i="1"/>
  <c r="CE350" i="1"/>
  <c r="CC350" i="1"/>
  <c r="CA350" i="1"/>
  <c r="BY350" i="1"/>
  <c r="BW350" i="1"/>
  <c r="BU350" i="1"/>
  <c r="BS350" i="1"/>
  <c r="BQ350" i="1"/>
  <c r="BO350" i="1"/>
  <c r="BM350" i="1"/>
  <c r="BI350" i="1"/>
  <c r="BG350" i="1"/>
  <c r="BE350" i="1"/>
  <c r="BC350" i="1"/>
  <c r="BA350" i="1"/>
  <c r="AY350" i="1"/>
  <c r="AY348" i="1" s="1"/>
  <c r="AT350" i="1"/>
  <c r="AS350" i="1"/>
  <c r="AQ350" i="1"/>
  <c r="AO350" i="1"/>
  <c r="AI350" i="1"/>
  <c r="AE350" i="1"/>
  <c r="AE348" i="1" s="1"/>
  <c r="AC350" i="1"/>
  <c r="AB350" i="1"/>
  <c r="W350" i="1"/>
  <c r="U350" i="1"/>
  <c r="S350" i="1"/>
  <c r="Q350" i="1"/>
  <c r="DO349" i="1"/>
  <c r="DN349" i="1"/>
  <c r="DM349" i="1"/>
  <c r="DL349" i="1"/>
  <c r="DK349" i="1"/>
  <c r="DI349" i="1"/>
  <c r="DH349" i="1"/>
  <c r="DG349" i="1"/>
  <c r="DC349" i="1"/>
  <c r="CY349" i="1"/>
  <c r="CU349" i="1"/>
  <c r="CS349" i="1"/>
  <c r="CS348" i="1" s="1"/>
  <c r="CQ349" i="1"/>
  <c r="CO349" i="1"/>
  <c r="CM349" i="1"/>
  <c r="CI349" i="1"/>
  <c r="CG349" i="1"/>
  <c r="CE349" i="1"/>
  <c r="CE348" i="1" s="1"/>
  <c r="CC349" i="1"/>
  <c r="CA349" i="1"/>
  <c r="BY349" i="1"/>
  <c r="BW349" i="1"/>
  <c r="BU349" i="1"/>
  <c r="BS349" i="1"/>
  <c r="BS348" i="1" s="1"/>
  <c r="BQ349" i="1"/>
  <c r="BO349" i="1"/>
  <c r="BM349" i="1"/>
  <c r="BK349" i="1"/>
  <c r="BI349" i="1"/>
  <c r="BG349" i="1"/>
  <c r="BG348" i="1" s="1"/>
  <c r="BE349" i="1"/>
  <c r="BC349" i="1"/>
  <c r="BA349" i="1"/>
  <c r="AY349" i="1"/>
  <c r="AW349" i="1"/>
  <c r="AW348" i="1" s="1"/>
  <c r="AU349" i="1"/>
  <c r="AS349" i="1"/>
  <c r="AQ349" i="1"/>
  <c r="AO349" i="1"/>
  <c r="AI349" i="1"/>
  <c r="AE349" i="1"/>
  <c r="AC349" i="1"/>
  <c r="AC348" i="1" s="1"/>
  <c r="AB349" i="1"/>
  <c r="W349" i="1"/>
  <c r="U349" i="1"/>
  <c r="S349" i="1"/>
  <c r="Q349" i="1"/>
  <c r="DQ348" i="1"/>
  <c r="DP348" i="1"/>
  <c r="DJ348" i="1"/>
  <c r="DF348" i="1"/>
  <c r="DD348" i="1"/>
  <c r="DB348" i="1"/>
  <c r="CZ348" i="1"/>
  <c r="CX348" i="1"/>
  <c r="CV348" i="1"/>
  <c r="CT348" i="1"/>
  <c r="CR348" i="1"/>
  <c r="CP348" i="1"/>
  <c r="CN348" i="1"/>
  <c r="CL348" i="1"/>
  <c r="CJ348" i="1"/>
  <c r="CH348" i="1"/>
  <c r="CF348" i="1"/>
  <c r="CD348" i="1"/>
  <c r="CB348" i="1"/>
  <c r="BZ348" i="1"/>
  <c r="BX348" i="1"/>
  <c r="BV348" i="1"/>
  <c r="BT348" i="1"/>
  <c r="BR348" i="1"/>
  <c r="BP348" i="1"/>
  <c r="BN348" i="1"/>
  <c r="BL348" i="1"/>
  <c r="BJ348" i="1"/>
  <c r="BH348" i="1"/>
  <c r="BF348" i="1"/>
  <c r="BD348" i="1"/>
  <c r="BB348" i="1"/>
  <c r="AZ348" i="1"/>
  <c r="AX348" i="1"/>
  <c r="AV348" i="1"/>
  <c r="AR348" i="1"/>
  <c r="AN348" i="1"/>
  <c r="AM348" i="1"/>
  <c r="AL348" i="1"/>
  <c r="AK348" i="1"/>
  <c r="AJ348" i="1"/>
  <c r="AH348" i="1"/>
  <c r="AG348" i="1"/>
  <c r="AF348" i="1"/>
  <c r="AD348" i="1"/>
  <c r="V348" i="1"/>
  <c r="T348" i="1"/>
  <c r="R348" i="1"/>
  <c r="P348" i="1"/>
  <c r="DO347" i="1"/>
  <c r="DM347" i="1"/>
  <c r="DK347" i="1"/>
  <c r="DI347" i="1"/>
  <c r="DE347" i="1"/>
  <c r="DC347" i="1"/>
  <c r="CY347" i="1"/>
  <c r="CU347" i="1"/>
  <c r="CS347" i="1"/>
  <c r="CQ347" i="1"/>
  <c r="CO347" i="1"/>
  <c r="CM347" i="1"/>
  <c r="CI347" i="1"/>
  <c r="CG347" i="1"/>
  <c r="CE347" i="1"/>
  <c r="CC347" i="1"/>
  <c r="CA347" i="1"/>
  <c r="BY347" i="1"/>
  <c r="BW347" i="1"/>
  <c r="BU347" i="1"/>
  <c r="BS347" i="1"/>
  <c r="BQ347" i="1"/>
  <c r="BO347" i="1"/>
  <c r="BM347" i="1"/>
  <c r="BI347" i="1"/>
  <c r="BG347" i="1"/>
  <c r="BE347" i="1"/>
  <c r="BC347" i="1"/>
  <c r="BA347" i="1"/>
  <c r="AY347" i="1"/>
  <c r="AU347" i="1"/>
  <c r="AS347" i="1"/>
  <c r="AQ347" i="1"/>
  <c r="AO347" i="1"/>
  <c r="AI347" i="1"/>
  <c r="AE347" i="1"/>
  <c r="AC347" i="1"/>
  <c r="AB347" i="1"/>
  <c r="DR347" i="1" s="1"/>
  <c r="DV347" i="1" s="1"/>
  <c r="W347" i="1"/>
  <c r="U347" i="1"/>
  <c r="S347" i="1"/>
  <c r="DS347" i="1" s="1"/>
  <c r="DW347" i="1" s="1"/>
  <c r="Q347" i="1"/>
  <c r="DO346" i="1"/>
  <c r="DM346" i="1"/>
  <c r="DK346" i="1"/>
  <c r="DI346" i="1"/>
  <c r="DG346" i="1"/>
  <c r="DC346" i="1"/>
  <c r="CY346" i="1"/>
  <c r="CU346" i="1"/>
  <c r="CS346" i="1"/>
  <c r="CQ346" i="1"/>
  <c r="CO346" i="1"/>
  <c r="CM346" i="1"/>
  <c r="CI346" i="1"/>
  <c r="CG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G346" i="1"/>
  <c r="BE346" i="1"/>
  <c r="BC346" i="1"/>
  <c r="BA346" i="1"/>
  <c r="AY346" i="1"/>
  <c r="AU346" i="1"/>
  <c r="AS346" i="1"/>
  <c r="AQ346" i="1"/>
  <c r="AO346" i="1"/>
  <c r="AI346" i="1"/>
  <c r="AE346" i="1"/>
  <c r="AC346" i="1"/>
  <c r="AB346" i="1"/>
  <c r="DR346" i="1" s="1"/>
  <c r="DV346" i="1" s="1"/>
  <c r="W346" i="1"/>
  <c r="U346" i="1"/>
  <c r="S346" i="1"/>
  <c r="Q346" i="1"/>
  <c r="DS346" i="1" s="1"/>
  <c r="DW346" i="1" s="1"/>
  <c r="DO345" i="1"/>
  <c r="DM345" i="1"/>
  <c r="DK345" i="1"/>
  <c r="DI345" i="1"/>
  <c r="DG345" i="1"/>
  <c r="DC345" i="1"/>
  <c r="CY345" i="1"/>
  <c r="CU345" i="1"/>
  <c r="CS345" i="1"/>
  <c r="CQ345" i="1"/>
  <c r="CO345" i="1"/>
  <c r="CM345" i="1"/>
  <c r="CI345" i="1"/>
  <c r="CG345" i="1"/>
  <c r="CE345" i="1"/>
  <c r="CC345" i="1"/>
  <c r="CA345" i="1"/>
  <c r="BY345" i="1"/>
  <c r="BW345" i="1"/>
  <c r="BU345" i="1"/>
  <c r="BS345" i="1"/>
  <c r="BQ345" i="1"/>
  <c r="BO345" i="1"/>
  <c r="BM345" i="1"/>
  <c r="BK345" i="1"/>
  <c r="BI345" i="1"/>
  <c r="BG345" i="1"/>
  <c r="BE345" i="1"/>
  <c r="BC345" i="1"/>
  <c r="BA345" i="1"/>
  <c r="AY345" i="1"/>
  <c r="AU345" i="1"/>
  <c r="AS345" i="1"/>
  <c r="AQ345" i="1"/>
  <c r="AO345" i="1"/>
  <c r="AI345" i="1"/>
  <c r="AE345" i="1"/>
  <c r="AC345" i="1"/>
  <c r="AB345" i="1"/>
  <c r="DR345" i="1" s="1"/>
  <c r="DV345" i="1" s="1"/>
  <c r="W345" i="1"/>
  <c r="U345" i="1"/>
  <c r="S345" i="1"/>
  <c r="Q345" i="1"/>
  <c r="DO344" i="1"/>
  <c r="DM344" i="1"/>
  <c r="DK344" i="1"/>
  <c r="DI344" i="1"/>
  <c r="DG344" i="1"/>
  <c r="DC344" i="1"/>
  <c r="CY344" i="1"/>
  <c r="CU344" i="1"/>
  <c r="CS344" i="1"/>
  <c r="CQ344" i="1"/>
  <c r="CO344" i="1"/>
  <c r="CM344" i="1"/>
  <c r="CI344" i="1"/>
  <c r="CG344" i="1"/>
  <c r="CE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U344" i="1"/>
  <c r="AS344" i="1"/>
  <c r="AQ344" i="1"/>
  <c r="AO344" i="1"/>
  <c r="AI344" i="1"/>
  <c r="AE344" i="1"/>
  <c r="AC344" i="1"/>
  <c r="AB344" i="1"/>
  <c r="DR344" i="1" s="1"/>
  <c r="DV344" i="1" s="1"/>
  <c r="W344" i="1"/>
  <c r="U344" i="1"/>
  <c r="S344" i="1"/>
  <c r="Q344" i="1"/>
  <c r="DR343" i="1"/>
  <c r="DV343" i="1" s="1"/>
  <c r="DO343" i="1"/>
  <c r="DM343" i="1"/>
  <c r="DK343" i="1"/>
  <c r="DI343" i="1"/>
  <c r="DG343" i="1"/>
  <c r="DC343" i="1"/>
  <c r="CY343" i="1"/>
  <c r="CU343" i="1"/>
  <c r="CS343" i="1"/>
  <c r="CQ343" i="1"/>
  <c r="CO343" i="1"/>
  <c r="CM343" i="1"/>
  <c r="CI343" i="1"/>
  <c r="CG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G343" i="1"/>
  <c r="BE343" i="1"/>
  <c r="BC343" i="1"/>
  <c r="BA343" i="1"/>
  <c r="AY343" i="1"/>
  <c r="AU343" i="1"/>
  <c r="AS343" i="1"/>
  <c r="AQ343" i="1"/>
  <c r="AO343" i="1"/>
  <c r="AI343" i="1"/>
  <c r="AE343" i="1"/>
  <c r="AC343" i="1"/>
  <c r="AB343" i="1"/>
  <c r="W343" i="1"/>
  <c r="U343" i="1"/>
  <c r="S343" i="1"/>
  <c r="Q343" i="1"/>
  <c r="DO342" i="1"/>
  <c r="DM342" i="1"/>
  <c r="DK342" i="1"/>
  <c r="DI342" i="1"/>
  <c r="DG342" i="1"/>
  <c r="DC342" i="1"/>
  <c r="CY342" i="1"/>
  <c r="CU342" i="1"/>
  <c r="CS342" i="1"/>
  <c r="CQ342" i="1"/>
  <c r="CO342" i="1"/>
  <c r="CM342" i="1"/>
  <c r="CI342" i="1"/>
  <c r="CG342" i="1"/>
  <c r="CE342" i="1"/>
  <c r="CC342" i="1"/>
  <c r="CA342" i="1"/>
  <c r="BY342" i="1"/>
  <c r="BW342" i="1"/>
  <c r="BU342" i="1"/>
  <c r="BS342" i="1"/>
  <c r="BQ342" i="1"/>
  <c r="BO342" i="1"/>
  <c r="BM342" i="1"/>
  <c r="BK342" i="1"/>
  <c r="BI342" i="1"/>
  <c r="BG342" i="1"/>
  <c r="BE342" i="1"/>
  <c r="BC342" i="1"/>
  <c r="BA342" i="1"/>
  <c r="AY342" i="1"/>
  <c r="AU342" i="1"/>
  <c r="AS342" i="1"/>
  <c r="AQ342" i="1"/>
  <c r="AO342" i="1"/>
  <c r="AI342" i="1"/>
  <c r="AE342" i="1"/>
  <c r="AC342" i="1"/>
  <c r="AB342" i="1"/>
  <c r="DR342" i="1" s="1"/>
  <c r="DV342" i="1" s="1"/>
  <c r="W342" i="1"/>
  <c r="U342" i="1"/>
  <c r="DS342" i="1" s="1"/>
  <c r="DW342" i="1" s="1"/>
  <c r="S342" i="1"/>
  <c r="Q342" i="1"/>
  <c r="DO341" i="1"/>
  <c r="DM341" i="1"/>
  <c r="DK341" i="1"/>
  <c r="DI341" i="1"/>
  <c r="DE341" i="1"/>
  <c r="DC341" i="1"/>
  <c r="CY341" i="1"/>
  <c r="CU341" i="1"/>
  <c r="CS341" i="1"/>
  <c r="CQ341" i="1"/>
  <c r="CO341" i="1"/>
  <c r="CM341" i="1"/>
  <c r="CI341" i="1"/>
  <c r="CG341" i="1"/>
  <c r="CE341" i="1"/>
  <c r="CC341" i="1"/>
  <c r="CA341" i="1"/>
  <c r="BY341" i="1"/>
  <c r="BW341" i="1"/>
  <c r="BU341" i="1"/>
  <c r="BS341" i="1"/>
  <c r="BQ341" i="1"/>
  <c r="BO341" i="1"/>
  <c r="BM341" i="1"/>
  <c r="BI341" i="1"/>
  <c r="BG341" i="1"/>
  <c r="BE341" i="1"/>
  <c r="BC341" i="1"/>
  <c r="BA341" i="1"/>
  <c r="AY341" i="1"/>
  <c r="AU341" i="1"/>
  <c r="AS341" i="1"/>
  <c r="AQ341" i="1"/>
  <c r="AO341" i="1"/>
  <c r="AI341" i="1"/>
  <c r="AE341" i="1"/>
  <c r="AC341" i="1"/>
  <c r="AB341" i="1"/>
  <c r="DR341" i="1" s="1"/>
  <c r="DV341" i="1" s="1"/>
  <c r="W341" i="1"/>
  <c r="U341" i="1"/>
  <c r="S341" i="1"/>
  <c r="Q341" i="1"/>
  <c r="DO340" i="1"/>
  <c r="DM340" i="1"/>
  <c r="DK340" i="1"/>
  <c r="DI340" i="1"/>
  <c r="DE340" i="1"/>
  <c r="DC340" i="1"/>
  <c r="CY340" i="1"/>
  <c r="CU340" i="1"/>
  <c r="CS340" i="1"/>
  <c r="CQ340" i="1"/>
  <c r="CO340" i="1"/>
  <c r="CM340" i="1"/>
  <c r="CI340" i="1"/>
  <c r="CG340" i="1"/>
  <c r="CE340" i="1"/>
  <c r="CC340" i="1"/>
  <c r="CA340" i="1"/>
  <c r="BY340" i="1"/>
  <c r="BW340" i="1"/>
  <c r="BU340" i="1"/>
  <c r="BS340" i="1"/>
  <c r="BQ340" i="1"/>
  <c r="BO340" i="1"/>
  <c r="BM340" i="1"/>
  <c r="BI340" i="1"/>
  <c r="BG340" i="1"/>
  <c r="BE340" i="1"/>
  <c r="BC340" i="1"/>
  <c r="BA340" i="1"/>
  <c r="AY340" i="1"/>
  <c r="AU340" i="1"/>
  <c r="AS340" i="1"/>
  <c r="AQ340" i="1"/>
  <c r="AO340" i="1"/>
  <c r="AI340" i="1"/>
  <c r="AE340" i="1"/>
  <c r="AC340" i="1"/>
  <c r="AB340" i="1"/>
  <c r="DR340" i="1" s="1"/>
  <c r="DV340" i="1" s="1"/>
  <c r="W340" i="1"/>
  <c r="U340" i="1"/>
  <c r="S340" i="1"/>
  <c r="Q340" i="1"/>
  <c r="DV339" i="1"/>
  <c r="DR339" i="1"/>
  <c r="DO339" i="1"/>
  <c r="DM339" i="1"/>
  <c r="DK339" i="1"/>
  <c r="DI339" i="1"/>
  <c r="DG339" i="1"/>
  <c r="DC339" i="1"/>
  <c r="CY339" i="1"/>
  <c r="CU339" i="1"/>
  <c r="CS339" i="1"/>
  <c r="CQ339" i="1"/>
  <c r="CO339" i="1"/>
  <c r="CM339" i="1"/>
  <c r="CI339" i="1"/>
  <c r="CG339" i="1"/>
  <c r="CE339" i="1"/>
  <c r="CC339" i="1"/>
  <c r="CA339" i="1"/>
  <c r="BY339" i="1"/>
  <c r="BW339" i="1"/>
  <c r="BU339" i="1"/>
  <c r="BS339" i="1"/>
  <c r="BQ339" i="1"/>
  <c r="BO339" i="1"/>
  <c r="BM339" i="1"/>
  <c r="BK339" i="1"/>
  <c r="BI339" i="1"/>
  <c r="BG339" i="1"/>
  <c r="BE339" i="1"/>
  <c r="BC339" i="1"/>
  <c r="BA339" i="1"/>
  <c r="AY339" i="1"/>
  <c r="AU339" i="1"/>
  <c r="AS339" i="1"/>
  <c r="AQ339" i="1"/>
  <c r="AO339" i="1"/>
  <c r="AI339" i="1"/>
  <c r="AE339" i="1"/>
  <c r="AC339" i="1"/>
  <c r="AB339" i="1"/>
  <c r="W339" i="1"/>
  <c r="U339" i="1"/>
  <c r="S339" i="1"/>
  <c r="Q339" i="1"/>
  <c r="DO338" i="1"/>
  <c r="DM338" i="1"/>
  <c r="DK338" i="1"/>
  <c r="DI338" i="1"/>
  <c r="DG338" i="1"/>
  <c r="DC338" i="1"/>
  <c r="CY338" i="1"/>
  <c r="CU338" i="1"/>
  <c r="CS338" i="1"/>
  <c r="CQ338" i="1"/>
  <c r="CO338" i="1"/>
  <c r="CM338" i="1"/>
  <c r="CI338" i="1"/>
  <c r="CG338" i="1"/>
  <c r="CE338" i="1"/>
  <c r="CC338" i="1"/>
  <c r="CA338" i="1"/>
  <c r="BY338" i="1"/>
  <c r="BW338" i="1"/>
  <c r="BU338" i="1"/>
  <c r="BS338" i="1"/>
  <c r="BQ338" i="1"/>
  <c r="BO338" i="1"/>
  <c r="BM338" i="1"/>
  <c r="BK338" i="1"/>
  <c r="BI338" i="1"/>
  <c r="BG338" i="1"/>
  <c r="BE338" i="1"/>
  <c r="BC338" i="1"/>
  <c r="BA338" i="1"/>
  <c r="AY338" i="1"/>
  <c r="AW338" i="1"/>
  <c r="AU338" i="1"/>
  <c r="AS338" i="1"/>
  <c r="AQ338" i="1"/>
  <c r="AO338" i="1"/>
  <c r="AI338" i="1"/>
  <c r="AE338" i="1"/>
  <c r="AC338" i="1"/>
  <c r="AB338" i="1"/>
  <c r="DR338" i="1" s="1"/>
  <c r="DV338" i="1" s="1"/>
  <c r="W338" i="1"/>
  <c r="DS338" i="1" s="1"/>
  <c r="DW338" i="1" s="1"/>
  <c r="U338" i="1"/>
  <c r="S338" i="1"/>
  <c r="Q338" i="1"/>
  <c r="DN337" i="1"/>
  <c r="DO337" i="1" s="1"/>
  <c r="DL337" i="1"/>
  <c r="DM337" i="1" s="1"/>
  <c r="DK337" i="1"/>
  <c r="DH337" i="1"/>
  <c r="DI337" i="1" s="1"/>
  <c r="DG337" i="1"/>
  <c r="DC337" i="1"/>
  <c r="CY337" i="1"/>
  <c r="CU337" i="1"/>
  <c r="CS337" i="1"/>
  <c r="CQ337" i="1"/>
  <c r="CO337" i="1"/>
  <c r="CM337" i="1"/>
  <c r="CI337" i="1"/>
  <c r="CG337" i="1"/>
  <c r="CE337" i="1"/>
  <c r="CC337" i="1"/>
  <c r="CA337" i="1"/>
  <c r="BY337" i="1"/>
  <c r="BW337" i="1"/>
  <c r="BU337" i="1"/>
  <c r="BS337" i="1"/>
  <c r="BQ337" i="1"/>
  <c r="BO337" i="1"/>
  <c r="BM337" i="1"/>
  <c r="BK337" i="1"/>
  <c r="BI337" i="1"/>
  <c r="BG337" i="1"/>
  <c r="BE337" i="1"/>
  <c r="BC337" i="1"/>
  <c r="BA337" i="1"/>
  <c r="AY337" i="1"/>
  <c r="AW337" i="1"/>
  <c r="AU337" i="1"/>
  <c r="AS337" i="1"/>
  <c r="AQ337" i="1"/>
  <c r="AO337" i="1"/>
  <c r="AI337" i="1"/>
  <c r="AE337" i="1"/>
  <c r="AC337" i="1"/>
  <c r="AB337" i="1"/>
  <c r="W337" i="1"/>
  <c r="U337" i="1"/>
  <c r="S337" i="1"/>
  <c r="Q337" i="1"/>
  <c r="DN336" i="1"/>
  <c r="DM336" i="1"/>
  <c r="DK336" i="1"/>
  <c r="DI336" i="1"/>
  <c r="DE336" i="1"/>
  <c r="DC336" i="1"/>
  <c r="CY336" i="1"/>
  <c r="CU336" i="1"/>
  <c r="CS336" i="1"/>
  <c r="CQ336" i="1"/>
  <c r="CO336" i="1"/>
  <c r="CM336" i="1"/>
  <c r="CI336" i="1"/>
  <c r="CG336" i="1"/>
  <c r="CE336" i="1"/>
  <c r="CC336" i="1"/>
  <c r="CA336" i="1"/>
  <c r="BY336" i="1"/>
  <c r="BW336" i="1"/>
  <c r="BU336" i="1"/>
  <c r="BS336" i="1"/>
  <c r="BQ336" i="1"/>
  <c r="BO336" i="1"/>
  <c r="BM336" i="1"/>
  <c r="BI336" i="1"/>
  <c r="BG336" i="1"/>
  <c r="BE336" i="1"/>
  <c r="BC336" i="1"/>
  <c r="BA336" i="1"/>
  <c r="AY336" i="1"/>
  <c r="AW336" i="1"/>
  <c r="AU336" i="1"/>
  <c r="AS336" i="1"/>
  <c r="AQ336" i="1"/>
  <c r="AO336" i="1"/>
  <c r="AI336" i="1"/>
  <c r="AE336" i="1"/>
  <c r="AC336" i="1"/>
  <c r="AB336" i="1"/>
  <c r="W336" i="1"/>
  <c r="U336" i="1"/>
  <c r="S336" i="1"/>
  <c r="Q336" i="1"/>
  <c r="DO335" i="1"/>
  <c r="DM335" i="1"/>
  <c r="DK335" i="1"/>
  <c r="DI335" i="1"/>
  <c r="DG335" i="1"/>
  <c r="DC335" i="1"/>
  <c r="CY335" i="1"/>
  <c r="CU335" i="1"/>
  <c r="CS335" i="1"/>
  <c r="CQ335" i="1"/>
  <c r="CO335" i="1"/>
  <c r="CO332" i="1" s="1"/>
  <c r="CM335" i="1"/>
  <c r="CI335" i="1"/>
  <c r="CG335" i="1"/>
  <c r="CE335" i="1"/>
  <c r="CC335" i="1"/>
  <c r="CA335" i="1"/>
  <c r="BY335" i="1"/>
  <c r="BW335" i="1"/>
  <c r="BU335" i="1"/>
  <c r="BS335" i="1"/>
  <c r="BQ335" i="1"/>
  <c r="BO335" i="1"/>
  <c r="BM335" i="1"/>
  <c r="BK335" i="1"/>
  <c r="BK332" i="1" s="1"/>
  <c r="BI335" i="1"/>
  <c r="BG335" i="1"/>
  <c r="BE335" i="1"/>
  <c r="BC335" i="1"/>
  <c r="BA335" i="1"/>
  <c r="AY335" i="1"/>
  <c r="AW335" i="1"/>
  <c r="AU335" i="1"/>
  <c r="AS335" i="1"/>
  <c r="AQ335" i="1"/>
  <c r="AO335" i="1"/>
  <c r="AI335" i="1"/>
  <c r="AI332" i="1" s="1"/>
  <c r="AE335" i="1"/>
  <c r="AC335" i="1"/>
  <c r="AB335" i="1"/>
  <c r="DR335" i="1" s="1"/>
  <c r="DV335" i="1" s="1"/>
  <c r="W335" i="1"/>
  <c r="U335" i="1"/>
  <c r="S335" i="1"/>
  <c r="S332" i="1" s="1"/>
  <c r="Q335" i="1"/>
  <c r="DN334" i="1"/>
  <c r="DL334" i="1"/>
  <c r="DM334" i="1" s="1"/>
  <c r="DK334" i="1"/>
  <c r="DI334" i="1"/>
  <c r="DH334" i="1"/>
  <c r="DG334" i="1"/>
  <c r="DC334" i="1"/>
  <c r="CY334" i="1"/>
  <c r="CT334" i="1"/>
  <c r="CU334" i="1" s="1"/>
  <c r="CS334" i="1"/>
  <c r="CQ334" i="1"/>
  <c r="CO334" i="1"/>
  <c r="CM334" i="1"/>
  <c r="CI334" i="1"/>
  <c r="CG334" i="1"/>
  <c r="CE334" i="1"/>
  <c r="CC334" i="1"/>
  <c r="CA334" i="1"/>
  <c r="BY334" i="1"/>
  <c r="BW334" i="1"/>
  <c r="BU334" i="1"/>
  <c r="BS334" i="1"/>
  <c r="BQ334" i="1"/>
  <c r="BO334" i="1"/>
  <c r="BM334" i="1"/>
  <c r="BK334" i="1"/>
  <c r="BI334" i="1"/>
  <c r="BG334" i="1"/>
  <c r="BE334" i="1"/>
  <c r="BC334" i="1"/>
  <c r="BA334" i="1"/>
  <c r="AY334" i="1"/>
  <c r="AW334" i="1"/>
  <c r="AU334" i="1"/>
  <c r="AS334" i="1"/>
  <c r="AP334" i="1"/>
  <c r="AQ334" i="1" s="1"/>
  <c r="AO334" i="1"/>
  <c r="AI334" i="1"/>
  <c r="AE334" i="1"/>
  <c r="AC334" i="1"/>
  <c r="AB334" i="1"/>
  <c r="W334" i="1"/>
  <c r="U334" i="1"/>
  <c r="S334" i="1"/>
  <c r="Q334" i="1"/>
  <c r="DR333" i="1"/>
  <c r="DN333" i="1"/>
  <c r="DO333" i="1" s="1"/>
  <c r="DM333" i="1"/>
  <c r="DL333" i="1"/>
  <c r="DK333" i="1"/>
  <c r="DI333" i="1"/>
  <c r="DH333" i="1"/>
  <c r="DH332" i="1" s="1"/>
  <c r="DG333" i="1"/>
  <c r="DC333" i="1"/>
  <c r="CY333" i="1"/>
  <c r="CT333" i="1"/>
  <c r="CS333" i="1"/>
  <c r="CS332" i="1" s="1"/>
  <c r="CQ333" i="1"/>
  <c r="CO333" i="1"/>
  <c r="CM333" i="1"/>
  <c r="CI333" i="1"/>
  <c r="CG333" i="1"/>
  <c r="CE333" i="1"/>
  <c r="CE332" i="1" s="1"/>
  <c r="CC333" i="1"/>
  <c r="CA333" i="1"/>
  <c r="BY333" i="1"/>
  <c r="BW333" i="1"/>
  <c r="BU333" i="1"/>
  <c r="BS333" i="1"/>
  <c r="BS332" i="1" s="1"/>
  <c r="BQ333" i="1"/>
  <c r="BO333" i="1"/>
  <c r="BM333" i="1"/>
  <c r="BK333" i="1"/>
  <c r="BI333" i="1"/>
  <c r="BG333" i="1"/>
  <c r="BG332" i="1" s="1"/>
  <c r="BE333" i="1"/>
  <c r="BC333" i="1"/>
  <c r="BA333" i="1"/>
  <c r="AY333" i="1"/>
  <c r="AW333" i="1"/>
  <c r="AU333" i="1"/>
  <c r="AU332" i="1" s="1"/>
  <c r="AS333" i="1"/>
  <c r="AQ333" i="1"/>
  <c r="AO333" i="1"/>
  <c r="AI333" i="1"/>
  <c r="AE333" i="1"/>
  <c r="AC333" i="1"/>
  <c r="AC332" i="1" s="1"/>
  <c r="AB333" i="1"/>
  <c r="W333" i="1"/>
  <c r="U333" i="1"/>
  <c r="S333" i="1"/>
  <c r="Q333" i="1"/>
  <c r="DQ332" i="1"/>
  <c r="DP332" i="1"/>
  <c r="DJ332" i="1"/>
  <c r="DF332" i="1"/>
  <c r="DD332" i="1"/>
  <c r="DB332" i="1"/>
  <c r="CZ332" i="1"/>
  <c r="CX332" i="1"/>
  <c r="CV332" i="1"/>
  <c r="CR332" i="1"/>
  <c r="CP332" i="1"/>
  <c r="CN332" i="1"/>
  <c r="CL332" i="1"/>
  <c r="CK332" i="1"/>
  <c r="CJ332" i="1"/>
  <c r="CH332" i="1"/>
  <c r="CF332" i="1"/>
  <c r="CD332" i="1"/>
  <c r="CB332" i="1"/>
  <c r="BZ332" i="1"/>
  <c r="BX332" i="1"/>
  <c r="BV332" i="1"/>
  <c r="BT332" i="1"/>
  <c r="BR332" i="1"/>
  <c r="BP332" i="1"/>
  <c r="BN332" i="1"/>
  <c r="BL332" i="1"/>
  <c r="BJ332" i="1"/>
  <c r="BH332" i="1"/>
  <c r="BF332" i="1"/>
  <c r="BD332" i="1"/>
  <c r="BB332" i="1"/>
  <c r="AZ332" i="1"/>
  <c r="AX332" i="1"/>
  <c r="AV332" i="1"/>
  <c r="AT332" i="1"/>
  <c r="AR332" i="1"/>
  <c r="AO332" i="1"/>
  <c r="AN332" i="1"/>
  <c r="AM332" i="1"/>
  <c r="AL332" i="1"/>
  <c r="AK332" i="1"/>
  <c r="AJ332" i="1"/>
  <c r="AH332" i="1"/>
  <c r="AG332" i="1"/>
  <c r="AF332" i="1"/>
  <c r="AD332" i="1"/>
  <c r="AB332" i="1"/>
  <c r="V332" i="1"/>
  <c r="T332" i="1"/>
  <c r="R332" i="1"/>
  <c r="P332" i="1"/>
  <c r="DR331" i="1"/>
  <c r="DV331" i="1" s="1"/>
  <c r="DO331" i="1"/>
  <c r="DM331" i="1"/>
  <c r="DK331" i="1"/>
  <c r="DI331" i="1"/>
  <c r="DE331" i="1"/>
  <c r="DC331" i="1"/>
  <c r="DC318" i="1" s="1"/>
  <c r="CY331" i="1"/>
  <c r="CU331" i="1"/>
  <c r="CS331" i="1"/>
  <c r="CQ331" i="1"/>
  <c r="CO331" i="1"/>
  <c r="CM331" i="1"/>
  <c r="CI331" i="1"/>
  <c r="CG331" i="1"/>
  <c r="CE331" i="1"/>
  <c r="CC331" i="1"/>
  <c r="CA331" i="1"/>
  <c r="BY331" i="1"/>
  <c r="BW331" i="1"/>
  <c r="BU331" i="1"/>
  <c r="BS331" i="1"/>
  <c r="BQ331" i="1"/>
  <c r="BO331" i="1"/>
  <c r="BM331" i="1"/>
  <c r="BI331" i="1"/>
  <c r="BG331" i="1"/>
  <c r="BE331" i="1"/>
  <c r="BC331" i="1"/>
  <c r="BA331" i="1"/>
  <c r="AY331" i="1"/>
  <c r="AW331" i="1"/>
  <c r="AU331" i="1"/>
  <c r="AS331" i="1"/>
  <c r="AQ331" i="1"/>
  <c r="AO331" i="1"/>
  <c r="AI331" i="1"/>
  <c r="AE331" i="1"/>
  <c r="AC331" i="1"/>
  <c r="AB331" i="1"/>
  <c r="W331" i="1"/>
  <c r="U331" i="1"/>
  <c r="S331" i="1"/>
  <c r="Q331" i="1"/>
  <c r="DO330" i="1"/>
  <c r="DM330" i="1"/>
  <c r="DK330" i="1"/>
  <c r="DI330" i="1"/>
  <c r="DE330" i="1"/>
  <c r="DC330" i="1"/>
  <c r="CY330" i="1"/>
  <c r="CU330" i="1"/>
  <c r="CS330" i="1"/>
  <c r="CQ330" i="1"/>
  <c r="CO330" i="1"/>
  <c r="CM330" i="1"/>
  <c r="CI330" i="1"/>
  <c r="CG330" i="1"/>
  <c r="CE330" i="1"/>
  <c r="CC330" i="1"/>
  <c r="CA330" i="1"/>
  <c r="BY330" i="1"/>
  <c r="BW330" i="1"/>
  <c r="BU330" i="1"/>
  <c r="BS330" i="1"/>
  <c r="BQ330" i="1"/>
  <c r="BO330" i="1"/>
  <c r="BM330" i="1"/>
  <c r="BI330" i="1"/>
  <c r="BG330" i="1"/>
  <c r="BE330" i="1"/>
  <c r="BC330" i="1"/>
  <c r="BA330" i="1"/>
  <c r="AY330" i="1"/>
  <c r="AW330" i="1"/>
  <c r="AT330" i="1"/>
  <c r="AU330" i="1" s="1"/>
  <c r="AS330" i="1"/>
  <c r="AQ330" i="1"/>
  <c r="AO330" i="1"/>
  <c r="AI330" i="1"/>
  <c r="AE330" i="1"/>
  <c r="AC330" i="1"/>
  <c r="AB330" i="1"/>
  <c r="DR330" i="1" s="1"/>
  <c r="DV330" i="1" s="1"/>
  <c r="W330" i="1"/>
  <c r="U330" i="1"/>
  <c r="S330" i="1"/>
  <c r="Q330" i="1"/>
  <c r="DO329" i="1"/>
  <c r="DM329" i="1"/>
  <c r="DK329" i="1"/>
  <c r="DI329" i="1"/>
  <c r="DG329" i="1"/>
  <c r="DC329" i="1"/>
  <c r="CY329" i="1"/>
  <c r="CU329" i="1"/>
  <c r="CS329" i="1"/>
  <c r="CQ329" i="1"/>
  <c r="CO329" i="1"/>
  <c r="CM329" i="1"/>
  <c r="CI329" i="1"/>
  <c r="CG329" i="1"/>
  <c r="CE329" i="1"/>
  <c r="CC329" i="1"/>
  <c r="CA329" i="1"/>
  <c r="BY329" i="1"/>
  <c r="BW329" i="1"/>
  <c r="BU329" i="1"/>
  <c r="BS329" i="1"/>
  <c r="BQ329" i="1"/>
  <c r="BQ318" i="1" s="1"/>
  <c r="BO329" i="1"/>
  <c r="BM329" i="1"/>
  <c r="BK329" i="1"/>
  <c r="BI329" i="1"/>
  <c r="BG329" i="1"/>
  <c r="BE329" i="1"/>
  <c r="BC329" i="1"/>
  <c r="BA329" i="1"/>
  <c r="AY329" i="1"/>
  <c r="AW329" i="1"/>
  <c r="AU329" i="1"/>
  <c r="AS329" i="1"/>
  <c r="AQ329" i="1"/>
  <c r="AP329" i="1"/>
  <c r="AO329" i="1"/>
  <c r="AI329" i="1"/>
  <c r="AE329" i="1"/>
  <c r="AC329" i="1"/>
  <c r="AB329" i="1"/>
  <c r="DR329" i="1" s="1"/>
  <c r="DV329" i="1" s="1"/>
  <c r="W329" i="1"/>
  <c r="U329" i="1"/>
  <c r="S329" i="1"/>
  <c r="Q329" i="1"/>
  <c r="DV328" i="1"/>
  <c r="DO328" i="1"/>
  <c r="DN328" i="1"/>
  <c r="DM328" i="1"/>
  <c r="DK328" i="1"/>
  <c r="DI328" i="1"/>
  <c r="DG328" i="1"/>
  <c r="DC328" i="1"/>
  <c r="CY328" i="1"/>
  <c r="CU328" i="1"/>
  <c r="CS328" i="1"/>
  <c r="CQ328" i="1"/>
  <c r="CO328" i="1"/>
  <c r="CM328" i="1"/>
  <c r="CI328" i="1"/>
  <c r="CG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G328" i="1"/>
  <c r="BE328" i="1"/>
  <c r="BC328" i="1"/>
  <c r="BA328" i="1"/>
  <c r="AY328" i="1"/>
  <c r="AW328" i="1"/>
  <c r="AU328" i="1"/>
  <c r="AT328" i="1"/>
  <c r="AS328" i="1"/>
  <c r="AQ328" i="1"/>
  <c r="AI328" i="1"/>
  <c r="AE328" i="1"/>
  <c r="AC328" i="1"/>
  <c r="AB328" i="1"/>
  <c r="DR328" i="1" s="1"/>
  <c r="W328" i="1"/>
  <c r="U328" i="1"/>
  <c r="S328" i="1"/>
  <c r="Q328" i="1"/>
  <c r="DR327" i="1"/>
  <c r="DV327" i="1" s="1"/>
  <c r="DN327" i="1"/>
  <c r="DO327" i="1" s="1"/>
  <c r="DM327" i="1"/>
  <c r="DK327" i="1"/>
  <c r="DI327" i="1"/>
  <c r="DH327" i="1"/>
  <c r="DG327" i="1"/>
  <c r="DC327" i="1"/>
  <c r="CY327" i="1"/>
  <c r="CU327" i="1"/>
  <c r="CS327" i="1"/>
  <c r="CQ327" i="1"/>
  <c r="CO327" i="1"/>
  <c r="CM327" i="1"/>
  <c r="CI327" i="1"/>
  <c r="CG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G327" i="1"/>
  <c r="BE327" i="1"/>
  <c r="BC327" i="1"/>
  <c r="BA327" i="1"/>
  <c r="AY327" i="1"/>
  <c r="AW327" i="1"/>
  <c r="AU327" i="1"/>
  <c r="AS327" i="1"/>
  <c r="AQ327" i="1"/>
  <c r="AO327" i="1"/>
  <c r="AI327" i="1"/>
  <c r="AE327" i="1"/>
  <c r="AC327" i="1"/>
  <c r="AB327" i="1"/>
  <c r="W327" i="1"/>
  <c r="U327" i="1"/>
  <c r="S327" i="1"/>
  <c r="Q327" i="1"/>
  <c r="DO326" i="1"/>
  <c r="DM326" i="1"/>
  <c r="DK326" i="1"/>
  <c r="DI326" i="1"/>
  <c r="DG326" i="1"/>
  <c r="DC326" i="1"/>
  <c r="CY326" i="1"/>
  <c r="CU326" i="1"/>
  <c r="CS326" i="1"/>
  <c r="CQ326" i="1"/>
  <c r="CO326" i="1"/>
  <c r="CM326" i="1"/>
  <c r="CI326" i="1"/>
  <c r="CG326" i="1"/>
  <c r="CE326" i="1"/>
  <c r="CC326" i="1"/>
  <c r="CA326" i="1"/>
  <c r="BY326" i="1"/>
  <c r="BW326" i="1"/>
  <c r="BU326" i="1"/>
  <c r="BS326" i="1"/>
  <c r="BQ326" i="1"/>
  <c r="BO326" i="1"/>
  <c r="BM326" i="1"/>
  <c r="BK326" i="1"/>
  <c r="BI326" i="1"/>
  <c r="BG326" i="1"/>
  <c r="BE326" i="1"/>
  <c r="BC326" i="1"/>
  <c r="BA326" i="1"/>
  <c r="AY326" i="1"/>
  <c r="AW326" i="1"/>
  <c r="AU326" i="1"/>
  <c r="AS326" i="1"/>
  <c r="AQ326" i="1"/>
  <c r="AO326" i="1"/>
  <c r="AI326" i="1"/>
  <c r="AE326" i="1"/>
  <c r="AC326" i="1"/>
  <c r="AB326" i="1"/>
  <c r="DR326" i="1" s="1"/>
  <c r="DV326" i="1" s="1"/>
  <c r="W326" i="1"/>
  <c r="U326" i="1"/>
  <c r="S326" i="1"/>
  <c r="Q326" i="1"/>
  <c r="DV325" i="1"/>
  <c r="DR325" i="1"/>
  <c r="DN325" i="1"/>
  <c r="DO325" i="1" s="1"/>
  <c r="DM325" i="1"/>
  <c r="DK325" i="1"/>
  <c r="DI325" i="1"/>
  <c r="DG325" i="1"/>
  <c r="DC325" i="1"/>
  <c r="CY325" i="1"/>
  <c r="CU325" i="1"/>
  <c r="CS325" i="1"/>
  <c r="CQ325" i="1"/>
  <c r="CO325" i="1"/>
  <c r="CM325" i="1"/>
  <c r="CI325" i="1"/>
  <c r="CG325" i="1"/>
  <c r="CE325" i="1"/>
  <c r="CC325" i="1"/>
  <c r="CA325" i="1"/>
  <c r="BY325" i="1"/>
  <c r="BW325" i="1"/>
  <c r="BU325" i="1"/>
  <c r="BS325" i="1"/>
  <c r="BQ325" i="1"/>
  <c r="BO325" i="1"/>
  <c r="BM325" i="1"/>
  <c r="BK325" i="1"/>
  <c r="BI325" i="1"/>
  <c r="BG325" i="1"/>
  <c r="BE325" i="1"/>
  <c r="BC325" i="1"/>
  <c r="BA325" i="1"/>
  <c r="AY325" i="1"/>
  <c r="AW325" i="1"/>
  <c r="AU325" i="1"/>
  <c r="AS325" i="1"/>
  <c r="AQ325" i="1"/>
  <c r="AO325" i="1"/>
  <c r="AI325" i="1"/>
  <c r="AE325" i="1"/>
  <c r="AC325" i="1"/>
  <c r="AB325" i="1"/>
  <c r="W325" i="1"/>
  <c r="W318" i="1" s="1"/>
  <c r="U325" i="1"/>
  <c r="S325" i="1"/>
  <c r="Q325" i="1"/>
  <c r="DO324" i="1"/>
  <c r="DN324" i="1"/>
  <c r="DM324" i="1"/>
  <c r="DK324" i="1"/>
  <c r="DH324" i="1"/>
  <c r="DI324" i="1" s="1"/>
  <c r="DG324" i="1"/>
  <c r="DC324" i="1"/>
  <c r="CY324" i="1"/>
  <c r="CT324" i="1"/>
  <c r="CS324" i="1"/>
  <c r="CQ324" i="1"/>
  <c r="CO324" i="1"/>
  <c r="CM324" i="1"/>
  <c r="CI324" i="1"/>
  <c r="CI318" i="1" s="1"/>
  <c r="CG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G324" i="1"/>
  <c r="BE324" i="1"/>
  <c r="BC324" i="1"/>
  <c r="BA324" i="1"/>
  <c r="AY324" i="1"/>
  <c r="AW324" i="1"/>
  <c r="AT324" i="1"/>
  <c r="AU324" i="1" s="1"/>
  <c r="AS324" i="1"/>
  <c r="AQ324" i="1"/>
  <c r="AO324" i="1"/>
  <c r="AI324" i="1"/>
  <c r="AE324" i="1"/>
  <c r="AC324" i="1"/>
  <c r="AB324" i="1"/>
  <c r="W324" i="1"/>
  <c r="T324" i="1"/>
  <c r="U324" i="1" s="1"/>
  <c r="S324" i="1"/>
  <c r="Q324" i="1"/>
  <c r="DN323" i="1"/>
  <c r="DM323" i="1"/>
  <c r="DL323" i="1"/>
  <c r="DK323" i="1"/>
  <c r="DH323" i="1"/>
  <c r="DI323" i="1" s="1"/>
  <c r="DE323" i="1"/>
  <c r="DC323" i="1"/>
  <c r="CY323" i="1"/>
  <c r="CU323" i="1"/>
  <c r="CS323" i="1"/>
  <c r="CQ323" i="1"/>
  <c r="CO323" i="1"/>
  <c r="CM323" i="1"/>
  <c r="CI323" i="1"/>
  <c r="CG323" i="1"/>
  <c r="CE323" i="1"/>
  <c r="CC323" i="1"/>
  <c r="CA323" i="1"/>
  <c r="BY323" i="1"/>
  <c r="BW323" i="1"/>
  <c r="BU323" i="1"/>
  <c r="BS323" i="1"/>
  <c r="BQ323" i="1"/>
  <c r="BO323" i="1"/>
  <c r="BM323" i="1"/>
  <c r="BI323" i="1"/>
  <c r="BG323" i="1"/>
  <c r="BE323" i="1"/>
  <c r="BC323" i="1"/>
  <c r="BA323" i="1"/>
  <c r="AY323" i="1"/>
  <c r="AW323" i="1"/>
  <c r="AT323" i="1"/>
  <c r="AU323" i="1" s="1"/>
  <c r="AS323" i="1"/>
  <c r="AQ323" i="1"/>
  <c r="AO323" i="1"/>
  <c r="AI323" i="1"/>
  <c r="AE323" i="1"/>
  <c r="AC323" i="1"/>
  <c r="AB323" i="1"/>
  <c r="W323" i="1"/>
  <c r="U323" i="1"/>
  <c r="S323" i="1"/>
  <c r="Q323" i="1"/>
  <c r="DO322" i="1"/>
  <c r="DN322" i="1"/>
  <c r="DM322" i="1"/>
  <c r="DL322" i="1"/>
  <c r="DL318" i="1" s="1"/>
  <c r="DK322" i="1"/>
  <c r="DI322" i="1"/>
  <c r="DH322" i="1"/>
  <c r="DE322" i="1"/>
  <c r="DC322" i="1"/>
  <c r="CY322" i="1"/>
  <c r="CU322" i="1"/>
  <c r="CS322" i="1"/>
  <c r="CQ322" i="1"/>
  <c r="CO322" i="1"/>
  <c r="CM322" i="1"/>
  <c r="CI322" i="1"/>
  <c r="CG322" i="1"/>
  <c r="CE322" i="1"/>
  <c r="CC322" i="1"/>
  <c r="CA322" i="1"/>
  <c r="BY322" i="1"/>
  <c r="BW322" i="1"/>
  <c r="BU322" i="1"/>
  <c r="BS322" i="1"/>
  <c r="BQ322" i="1"/>
  <c r="BO322" i="1"/>
  <c r="BM322" i="1"/>
  <c r="BI322" i="1"/>
  <c r="BG322" i="1"/>
  <c r="BE322" i="1"/>
  <c r="BC322" i="1"/>
  <c r="BA322" i="1"/>
  <c r="AY322" i="1"/>
  <c r="AW322" i="1"/>
  <c r="AU322" i="1"/>
  <c r="AS322" i="1"/>
  <c r="AQ322" i="1"/>
  <c r="AO322" i="1"/>
  <c r="AI322" i="1"/>
  <c r="AE322" i="1"/>
  <c r="AC322" i="1"/>
  <c r="AB322" i="1"/>
  <c r="DR322" i="1" s="1"/>
  <c r="DV322" i="1" s="1"/>
  <c r="W322" i="1"/>
  <c r="U322" i="1"/>
  <c r="S322" i="1"/>
  <c r="Q322" i="1"/>
  <c r="DN321" i="1"/>
  <c r="DO321" i="1" s="1"/>
  <c r="DM321" i="1"/>
  <c r="DK321" i="1"/>
  <c r="DI321" i="1"/>
  <c r="DE321" i="1"/>
  <c r="DC321" i="1"/>
  <c r="CY321" i="1"/>
  <c r="CY318" i="1" s="1"/>
  <c r="CU321" i="1"/>
  <c r="CS321" i="1"/>
  <c r="CQ321" i="1"/>
  <c r="CO321" i="1"/>
  <c r="CM321" i="1"/>
  <c r="CI321" i="1"/>
  <c r="CG321" i="1"/>
  <c r="CE321" i="1"/>
  <c r="CC321" i="1"/>
  <c r="CA321" i="1"/>
  <c r="BY321" i="1"/>
  <c r="BW321" i="1"/>
  <c r="BU321" i="1"/>
  <c r="BS321" i="1"/>
  <c r="BQ321" i="1"/>
  <c r="BO321" i="1"/>
  <c r="BM321" i="1"/>
  <c r="BI321" i="1"/>
  <c r="BG321" i="1"/>
  <c r="BE321" i="1"/>
  <c r="BC321" i="1"/>
  <c r="BA321" i="1"/>
  <c r="AY321" i="1"/>
  <c r="AW321" i="1"/>
  <c r="AU321" i="1"/>
  <c r="AS321" i="1"/>
  <c r="AQ321" i="1"/>
  <c r="AO321" i="1"/>
  <c r="AI321" i="1"/>
  <c r="AE321" i="1"/>
  <c r="AC321" i="1"/>
  <c r="AB321" i="1"/>
  <c r="W321" i="1"/>
  <c r="U321" i="1"/>
  <c r="S321" i="1"/>
  <c r="Q321" i="1"/>
  <c r="Q318" i="1" s="1"/>
  <c r="DO320" i="1"/>
  <c r="DN320" i="1"/>
  <c r="DM320" i="1"/>
  <c r="DK320" i="1"/>
  <c r="DI320" i="1"/>
  <c r="DE320" i="1"/>
  <c r="DC320" i="1"/>
  <c r="CY320" i="1"/>
  <c r="CU320" i="1"/>
  <c r="CS320" i="1"/>
  <c r="CQ320" i="1"/>
  <c r="CO320" i="1"/>
  <c r="CM320" i="1"/>
  <c r="CI320" i="1"/>
  <c r="CG320" i="1"/>
  <c r="CE320" i="1"/>
  <c r="CC320" i="1"/>
  <c r="CA320" i="1"/>
  <c r="BY320" i="1"/>
  <c r="BW320" i="1"/>
  <c r="BU320" i="1"/>
  <c r="BS320" i="1"/>
  <c r="BQ320" i="1"/>
  <c r="BO320" i="1"/>
  <c r="BM320" i="1"/>
  <c r="BI320" i="1"/>
  <c r="BG320" i="1"/>
  <c r="BE320" i="1"/>
  <c r="BC320" i="1"/>
  <c r="BA320" i="1"/>
  <c r="AY320" i="1"/>
  <c r="AW320" i="1"/>
  <c r="AT320" i="1"/>
  <c r="AS320" i="1"/>
  <c r="AQ320" i="1"/>
  <c r="AO320" i="1"/>
  <c r="AI320" i="1"/>
  <c r="AE320" i="1"/>
  <c r="AC320" i="1"/>
  <c r="AB320" i="1"/>
  <c r="W320" i="1"/>
  <c r="U320" i="1"/>
  <c r="S320" i="1"/>
  <c r="Q320" i="1"/>
  <c r="DO319" i="1"/>
  <c r="DM319" i="1"/>
  <c r="DK319" i="1"/>
  <c r="DI319" i="1"/>
  <c r="DI318" i="1" s="1"/>
  <c r="DG319" i="1"/>
  <c r="DC319" i="1"/>
  <c r="CY319" i="1"/>
  <c r="CU319" i="1"/>
  <c r="CS319" i="1"/>
  <c r="CQ319" i="1"/>
  <c r="CO319" i="1"/>
  <c r="CM319" i="1"/>
  <c r="CI319" i="1"/>
  <c r="CG319" i="1"/>
  <c r="CE319" i="1"/>
  <c r="CC319" i="1"/>
  <c r="CC318" i="1" s="1"/>
  <c r="CA319" i="1"/>
  <c r="BY319" i="1"/>
  <c r="BW319" i="1"/>
  <c r="BU319" i="1"/>
  <c r="BS319" i="1"/>
  <c r="BQ319" i="1"/>
  <c r="BO319" i="1"/>
  <c r="BM319" i="1"/>
  <c r="BK319" i="1"/>
  <c r="BK318" i="1" s="1"/>
  <c r="BI319" i="1"/>
  <c r="BG319" i="1"/>
  <c r="BE319" i="1"/>
  <c r="BC319" i="1"/>
  <c r="BA319" i="1"/>
  <c r="AY319" i="1"/>
  <c r="AW319" i="1"/>
  <c r="AU319" i="1"/>
  <c r="AS319" i="1"/>
  <c r="AQ319" i="1"/>
  <c r="AO319" i="1"/>
  <c r="AI319" i="1"/>
  <c r="AE319" i="1"/>
  <c r="AC319" i="1"/>
  <c r="AB319" i="1"/>
  <c r="DR319" i="1" s="1"/>
  <c r="W319" i="1"/>
  <c r="U319" i="1"/>
  <c r="S319" i="1"/>
  <c r="Q319" i="1"/>
  <c r="DQ318" i="1"/>
  <c r="DP318" i="1"/>
  <c r="DJ318" i="1"/>
  <c r="DH318" i="1"/>
  <c r="DF318" i="1"/>
  <c r="DD318" i="1"/>
  <c r="DB318" i="1"/>
  <c r="CZ318" i="1"/>
  <c r="CX318" i="1"/>
  <c r="CV318" i="1"/>
  <c r="CR318" i="1"/>
  <c r="CP318" i="1"/>
  <c r="CN318" i="1"/>
  <c r="CL318" i="1"/>
  <c r="CK318" i="1"/>
  <c r="CJ318" i="1"/>
  <c r="CH318" i="1"/>
  <c r="CF318" i="1"/>
  <c r="CD318" i="1"/>
  <c r="CB318" i="1"/>
  <c r="BZ318" i="1"/>
  <c r="BX318" i="1"/>
  <c r="BW318" i="1"/>
  <c r="BV318" i="1"/>
  <c r="BT318" i="1"/>
  <c r="BR318" i="1"/>
  <c r="BP318" i="1"/>
  <c r="BN318" i="1"/>
  <c r="BL318" i="1"/>
  <c r="BJ318" i="1"/>
  <c r="BH318" i="1"/>
  <c r="BF318" i="1"/>
  <c r="BD318" i="1"/>
  <c r="BB318" i="1"/>
  <c r="AZ318" i="1"/>
  <c r="AX318" i="1"/>
  <c r="AV318" i="1"/>
  <c r="AR318" i="1"/>
  <c r="AP318" i="1"/>
  <c r="AN318" i="1"/>
  <c r="AM318" i="1"/>
  <c r="AL318" i="1"/>
  <c r="AK318" i="1"/>
  <c r="AJ318" i="1"/>
  <c r="AH318" i="1"/>
  <c r="AG318" i="1"/>
  <c r="AF318" i="1"/>
  <c r="AD318" i="1"/>
  <c r="V318" i="1"/>
  <c r="T318" i="1"/>
  <c r="R318" i="1"/>
  <c r="P318" i="1"/>
  <c r="DO317" i="1"/>
  <c r="DM317" i="1"/>
  <c r="DK317" i="1"/>
  <c r="DI317" i="1"/>
  <c r="DE317" i="1"/>
  <c r="DC317" i="1"/>
  <c r="CY317" i="1"/>
  <c r="CU317" i="1"/>
  <c r="CS317" i="1"/>
  <c r="CQ317" i="1"/>
  <c r="CO317" i="1"/>
  <c r="CM317" i="1"/>
  <c r="CI317" i="1"/>
  <c r="CG317" i="1"/>
  <c r="CE317" i="1"/>
  <c r="CC317" i="1"/>
  <c r="CA317" i="1"/>
  <c r="BY317" i="1"/>
  <c r="BW317" i="1"/>
  <c r="BU317" i="1"/>
  <c r="BS317" i="1"/>
  <c r="BQ317" i="1"/>
  <c r="BO317" i="1"/>
  <c r="BM317" i="1"/>
  <c r="BI317" i="1"/>
  <c r="BG317" i="1"/>
  <c r="BE317" i="1"/>
  <c r="BC317" i="1"/>
  <c r="BA317" i="1"/>
  <c r="AY317" i="1"/>
  <c r="AU317" i="1"/>
  <c r="AS317" i="1"/>
  <c r="AQ317" i="1"/>
  <c r="AO317" i="1"/>
  <c r="AI317" i="1"/>
  <c r="AE317" i="1"/>
  <c r="AC317" i="1"/>
  <c r="AB317" i="1"/>
  <c r="DR317" i="1" s="1"/>
  <c r="DV317" i="1" s="1"/>
  <c r="W317" i="1"/>
  <c r="W312" i="1" s="1"/>
  <c r="U317" i="1"/>
  <c r="S317" i="1"/>
  <c r="Q317" i="1"/>
  <c r="DO316" i="1"/>
  <c r="DM316" i="1"/>
  <c r="DK316" i="1"/>
  <c r="DI316" i="1"/>
  <c r="DE316" i="1"/>
  <c r="DC316" i="1"/>
  <c r="CY316" i="1"/>
  <c r="CU316" i="1"/>
  <c r="CS316" i="1"/>
  <c r="CQ316" i="1"/>
  <c r="CO316" i="1"/>
  <c r="CM316" i="1"/>
  <c r="CI316" i="1"/>
  <c r="CG316" i="1"/>
  <c r="CE316" i="1"/>
  <c r="CC316" i="1"/>
  <c r="CA316" i="1"/>
  <c r="BY316" i="1"/>
  <c r="BW316" i="1"/>
  <c r="BU316" i="1"/>
  <c r="BS316" i="1"/>
  <c r="BQ316" i="1"/>
  <c r="BO316" i="1"/>
  <c r="BM316" i="1"/>
  <c r="BI316" i="1"/>
  <c r="BG316" i="1"/>
  <c r="BE316" i="1"/>
  <c r="BC316" i="1"/>
  <c r="BA316" i="1"/>
  <c r="AY316" i="1"/>
  <c r="AU316" i="1"/>
  <c r="AS316" i="1"/>
  <c r="AQ316" i="1"/>
  <c r="AO316" i="1"/>
  <c r="AI316" i="1"/>
  <c r="AE316" i="1"/>
  <c r="AC316" i="1"/>
  <c r="AB316" i="1"/>
  <c r="DR316" i="1" s="1"/>
  <c r="DV316" i="1" s="1"/>
  <c r="W316" i="1"/>
  <c r="U316" i="1"/>
  <c r="S316" i="1"/>
  <c r="Q316" i="1"/>
  <c r="DO315" i="1"/>
  <c r="DM315" i="1"/>
  <c r="DK315" i="1"/>
  <c r="DI315" i="1"/>
  <c r="DG315" i="1"/>
  <c r="DE315" i="1"/>
  <c r="DC315" i="1"/>
  <c r="CY315" i="1"/>
  <c r="CU315" i="1"/>
  <c r="CS315" i="1"/>
  <c r="CQ315" i="1"/>
  <c r="CO315" i="1"/>
  <c r="CM315" i="1"/>
  <c r="CI315" i="1"/>
  <c r="CG315" i="1"/>
  <c r="CE315" i="1"/>
  <c r="CC315" i="1"/>
  <c r="CA315" i="1"/>
  <c r="BY315" i="1"/>
  <c r="BW315" i="1"/>
  <c r="BU315" i="1"/>
  <c r="BS315" i="1"/>
  <c r="BQ315" i="1"/>
  <c r="BO315" i="1"/>
  <c r="BM315" i="1"/>
  <c r="BK315" i="1"/>
  <c r="BK312" i="1" s="1"/>
  <c r="BI315" i="1"/>
  <c r="BG315" i="1"/>
  <c r="BE315" i="1"/>
  <c r="BC315" i="1"/>
  <c r="BA315" i="1"/>
  <c r="AY315" i="1"/>
  <c r="AY312" i="1" s="1"/>
  <c r="AW315" i="1"/>
  <c r="AT315" i="1"/>
  <c r="AU315" i="1" s="1"/>
  <c r="AS315" i="1"/>
  <c r="AQ315" i="1"/>
  <c r="AO315" i="1"/>
  <c r="AI315" i="1"/>
  <c r="AE315" i="1"/>
  <c r="AC315" i="1"/>
  <c r="AB315" i="1"/>
  <c r="DR315" i="1" s="1"/>
  <c r="DV315" i="1" s="1"/>
  <c r="W315" i="1"/>
  <c r="U315" i="1"/>
  <c r="S315" i="1"/>
  <c r="Q315" i="1"/>
  <c r="DN314" i="1"/>
  <c r="DO314" i="1" s="1"/>
  <c r="DM314" i="1"/>
  <c r="DK314" i="1"/>
  <c r="DI314" i="1"/>
  <c r="DG314" i="1"/>
  <c r="DE314" i="1"/>
  <c r="DC314" i="1"/>
  <c r="CY314" i="1"/>
  <c r="CU314" i="1"/>
  <c r="CS314" i="1"/>
  <c r="CQ314" i="1"/>
  <c r="CO314" i="1"/>
  <c r="CM314" i="1"/>
  <c r="CI314" i="1"/>
  <c r="CG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G314" i="1"/>
  <c r="BE314" i="1"/>
  <c r="BC314" i="1"/>
  <c r="BA314" i="1"/>
  <c r="AY314" i="1"/>
  <c r="AW314" i="1"/>
  <c r="AW312" i="1" s="1"/>
  <c r="AT314" i="1"/>
  <c r="AU314" i="1" s="1"/>
  <c r="AS314" i="1"/>
  <c r="AQ314" i="1"/>
  <c r="AO314" i="1"/>
  <c r="AI314" i="1"/>
  <c r="AE314" i="1"/>
  <c r="AC314" i="1"/>
  <c r="AB314" i="1"/>
  <c r="W314" i="1"/>
  <c r="U314" i="1"/>
  <c r="S314" i="1"/>
  <c r="Q314" i="1"/>
  <c r="DN313" i="1"/>
  <c r="DM313" i="1"/>
  <c r="DK313" i="1"/>
  <c r="DI313" i="1"/>
  <c r="DI312" i="1" s="1"/>
  <c r="DG313" i="1"/>
  <c r="DE313" i="1"/>
  <c r="DC313" i="1"/>
  <c r="DC312" i="1" s="1"/>
  <c r="CY313" i="1"/>
  <c r="CU313" i="1"/>
  <c r="CU312" i="1" s="1"/>
  <c r="CS313" i="1"/>
  <c r="CQ313" i="1"/>
  <c r="CO313" i="1"/>
  <c r="CM313" i="1"/>
  <c r="CI313" i="1"/>
  <c r="CI312" i="1" s="1"/>
  <c r="CG313" i="1"/>
  <c r="CE313" i="1"/>
  <c r="CC313" i="1"/>
  <c r="CA313" i="1"/>
  <c r="BY313" i="1"/>
  <c r="BY312" i="1" s="1"/>
  <c r="BW313" i="1"/>
  <c r="BU313" i="1"/>
  <c r="BS313" i="1"/>
  <c r="BQ313" i="1"/>
  <c r="BO313" i="1"/>
  <c r="BM313" i="1"/>
  <c r="BM312" i="1" s="1"/>
  <c r="BK313" i="1"/>
  <c r="BI313" i="1"/>
  <c r="BG313" i="1"/>
  <c r="BE313" i="1"/>
  <c r="BC313" i="1"/>
  <c r="BA313" i="1"/>
  <c r="BA312" i="1" s="1"/>
  <c r="AY313" i="1"/>
  <c r="AW313" i="1"/>
  <c r="AT313" i="1"/>
  <c r="AS313" i="1"/>
  <c r="AQ313" i="1"/>
  <c r="AO313" i="1"/>
  <c r="AI313" i="1"/>
  <c r="AE313" i="1"/>
  <c r="AC313" i="1"/>
  <c r="AB313" i="1"/>
  <c r="W313" i="1"/>
  <c r="U313" i="1"/>
  <c r="S313" i="1"/>
  <c r="Q313" i="1"/>
  <c r="Q312" i="1" s="1"/>
  <c r="DQ312" i="1"/>
  <c r="DP312" i="1"/>
  <c r="DL312" i="1"/>
  <c r="DJ312" i="1"/>
  <c r="DH312" i="1"/>
  <c r="DF312" i="1"/>
  <c r="DD312" i="1"/>
  <c r="DB312" i="1"/>
  <c r="CZ312" i="1"/>
  <c r="CX312" i="1"/>
  <c r="CV312" i="1"/>
  <c r="CT312" i="1"/>
  <c r="CR312" i="1"/>
  <c r="CP312" i="1"/>
  <c r="CO312" i="1"/>
  <c r="CN312" i="1"/>
  <c r="CL312" i="1"/>
  <c r="CK312" i="1"/>
  <c r="CJ312" i="1"/>
  <c r="CH312" i="1"/>
  <c r="CF312" i="1"/>
  <c r="CD312" i="1"/>
  <c r="CB312" i="1"/>
  <c r="BZ312" i="1"/>
  <c r="BX312" i="1"/>
  <c r="BV312" i="1"/>
  <c r="BT312" i="1"/>
  <c r="BR312" i="1"/>
  <c r="BP312" i="1"/>
  <c r="BN312" i="1"/>
  <c r="BL312" i="1"/>
  <c r="BJ312" i="1"/>
  <c r="BH312" i="1"/>
  <c r="BF312" i="1"/>
  <c r="BD312" i="1"/>
  <c r="BB312" i="1"/>
  <c r="AZ312" i="1"/>
  <c r="AX312" i="1"/>
  <c r="AV312" i="1"/>
  <c r="AR312" i="1"/>
  <c r="AP312" i="1"/>
  <c r="AN312" i="1"/>
  <c r="AM312" i="1"/>
  <c r="AL312" i="1"/>
  <c r="AK312" i="1"/>
  <c r="AJ312" i="1"/>
  <c r="AH312" i="1"/>
  <c r="AG312" i="1"/>
  <c r="AF312" i="1"/>
  <c r="AD312" i="1"/>
  <c r="V312" i="1"/>
  <c r="T312" i="1"/>
  <c r="R312" i="1"/>
  <c r="P312" i="1"/>
  <c r="DO311" i="1"/>
  <c r="DM311" i="1"/>
  <c r="DK311" i="1"/>
  <c r="DI311" i="1"/>
  <c r="DG311" i="1"/>
  <c r="DE311" i="1"/>
  <c r="DC311" i="1"/>
  <c r="CY311" i="1"/>
  <c r="CU311" i="1"/>
  <c r="CS311" i="1"/>
  <c r="CQ311" i="1"/>
  <c r="CO311" i="1"/>
  <c r="CM311" i="1"/>
  <c r="CI311" i="1"/>
  <c r="CG311" i="1"/>
  <c r="CE311" i="1"/>
  <c r="CC311" i="1"/>
  <c r="CA311" i="1"/>
  <c r="BY311" i="1"/>
  <c r="BW311" i="1"/>
  <c r="BU311" i="1"/>
  <c r="BS311" i="1"/>
  <c r="BQ311" i="1"/>
  <c r="BO311" i="1"/>
  <c r="BM311" i="1"/>
  <c r="BK311" i="1"/>
  <c r="BI311" i="1"/>
  <c r="BG311" i="1"/>
  <c r="BE311" i="1"/>
  <c r="BC311" i="1"/>
  <c r="BA311" i="1"/>
  <c r="AY311" i="1"/>
  <c r="AW311" i="1"/>
  <c r="AU311" i="1"/>
  <c r="AS311" i="1"/>
  <c r="AQ311" i="1"/>
  <c r="AO311" i="1"/>
  <c r="AI311" i="1"/>
  <c r="AE311" i="1"/>
  <c r="AC311" i="1"/>
  <c r="AB311" i="1"/>
  <c r="DR311" i="1" s="1"/>
  <c r="DV311" i="1" s="1"/>
  <c r="W311" i="1"/>
  <c r="U311" i="1"/>
  <c r="S311" i="1"/>
  <c r="Q311" i="1"/>
  <c r="DR310" i="1"/>
  <c r="DV310" i="1" s="1"/>
  <c r="DO310" i="1"/>
  <c r="DM310" i="1"/>
  <c r="DK310" i="1"/>
  <c r="DI310" i="1"/>
  <c r="DG310" i="1"/>
  <c r="DE310" i="1"/>
  <c r="DC310" i="1"/>
  <c r="CY310" i="1"/>
  <c r="CU310" i="1"/>
  <c r="CS310" i="1"/>
  <c r="CQ310" i="1"/>
  <c r="CO310" i="1"/>
  <c r="CM310" i="1"/>
  <c r="CI310" i="1"/>
  <c r="CG310" i="1"/>
  <c r="CE310" i="1"/>
  <c r="CC310" i="1"/>
  <c r="CA310" i="1"/>
  <c r="BY310" i="1"/>
  <c r="BW310" i="1"/>
  <c r="BU310" i="1"/>
  <c r="BS310" i="1"/>
  <c r="BQ310" i="1"/>
  <c r="BO310" i="1"/>
  <c r="BM310" i="1"/>
  <c r="BK310" i="1"/>
  <c r="BI310" i="1"/>
  <c r="BG310" i="1"/>
  <c r="BE310" i="1"/>
  <c r="BC310" i="1"/>
  <c r="BA310" i="1"/>
  <c r="AY310" i="1"/>
  <c r="AW310" i="1"/>
  <c r="AU310" i="1"/>
  <c r="AS310" i="1"/>
  <c r="AQ310" i="1"/>
  <c r="AO310" i="1"/>
  <c r="AI310" i="1"/>
  <c r="AE310" i="1"/>
  <c r="AC310" i="1"/>
  <c r="AB310" i="1"/>
  <c r="W310" i="1"/>
  <c r="U310" i="1"/>
  <c r="S310" i="1"/>
  <c r="Q310" i="1"/>
  <c r="DO309" i="1"/>
  <c r="DM309" i="1"/>
  <c r="DL309" i="1"/>
  <c r="DK309" i="1"/>
  <c r="DI309" i="1"/>
  <c r="DG309" i="1"/>
  <c r="DE309" i="1"/>
  <c r="DC309" i="1"/>
  <c r="CY309" i="1"/>
  <c r="CU309" i="1"/>
  <c r="CS309" i="1"/>
  <c r="CQ309" i="1"/>
  <c r="CO309" i="1"/>
  <c r="CM309" i="1"/>
  <c r="CI309" i="1"/>
  <c r="CG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G309" i="1"/>
  <c r="BE309" i="1"/>
  <c r="BC309" i="1"/>
  <c r="BA309" i="1"/>
  <c r="AY309" i="1"/>
  <c r="AW309" i="1"/>
  <c r="AU309" i="1"/>
  <c r="AS309" i="1"/>
  <c r="AQ309" i="1"/>
  <c r="AO309" i="1"/>
  <c r="AI309" i="1"/>
  <c r="AG309" i="1"/>
  <c r="AE309" i="1"/>
  <c r="AC309" i="1"/>
  <c r="AB309" i="1"/>
  <c r="DR309" i="1" s="1"/>
  <c r="DV309" i="1" s="1"/>
  <c r="W309" i="1"/>
  <c r="U309" i="1"/>
  <c r="S309" i="1"/>
  <c r="Q309" i="1"/>
  <c r="DN308" i="1"/>
  <c r="DO308" i="1" s="1"/>
  <c r="DM308" i="1"/>
  <c r="DK308" i="1"/>
  <c r="DH308" i="1"/>
  <c r="DI308" i="1" s="1"/>
  <c r="DG308" i="1"/>
  <c r="DE308" i="1"/>
  <c r="DC308" i="1"/>
  <c r="CY308" i="1"/>
  <c r="CU308" i="1"/>
  <c r="CS308" i="1"/>
  <c r="CQ308" i="1"/>
  <c r="CO308" i="1"/>
  <c r="CM308" i="1"/>
  <c r="CI308" i="1"/>
  <c r="CG308" i="1"/>
  <c r="CE308" i="1"/>
  <c r="CC308" i="1"/>
  <c r="CA308" i="1"/>
  <c r="BY308" i="1"/>
  <c r="BW308" i="1"/>
  <c r="BU308" i="1"/>
  <c r="BS308" i="1"/>
  <c r="BQ308" i="1"/>
  <c r="BO308" i="1"/>
  <c r="BM308" i="1"/>
  <c r="BK308" i="1"/>
  <c r="BI308" i="1"/>
  <c r="BG308" i="1"/>
  <c r="BE308" i="1"/>
  <c r="BC308" i="1"/>
  <c r="BA308" i="1"/>
  <c r="AY308" i="1"/>
  <c r="AW308" i="1"/>
  <c r="AU308" i="1"/>
  <c r="AS308" i="1"/>
  <c r="AQ308" i="1"/>
  <c r="AO308" i="1"/>
  <c r="AI308" i="1"/>
  <c r="AE308" i="1"/>
  <c r="AC308" i="1"/>
  <c r="AB308" i="1"/>
  <c r="W308" i="1"/>
  <c r="U308" i="1"/>
  <c r="S308" i="1"/>
  <c r="Q308" i="1"/>
  <c r="DN307" i="1"/>
  <c r="DO307" i="1" s="1"/>
  <c r="DL307" i="1"/>
  <c r="DM307" i="1" s="1"/>
  <c r="DK307" i="1"/>
  <c r="DI307" i="1"/>
  <c r="DH307" i="1"/>
  <c r="DE307" i="1"/>
  <c r="DC307" i="1"/>
  <c r="CY307" i="1"/>
  <c r="CU307" i="1"/>
  <c r="CS307" i="1"/>
  <c r="CQ307" i="1"/>
  <c r="CO307" i="1"/>
  <c r="CM307" i="1"/>
  <c r="CI307" i="1"/>
  <c r="CG307" i="1"/>
  <c r="CE307" i="1"/>
  <c r="CC307" i="1"/>
  <c r="CA307" i="1"/>
  <c r="BY307" i="1"/>
  <c r="BW307" i="1"/>
  <c r="BU307" i="1"/>
  <c r="BS307" i="1"/>
  <c r="BQ307" i="1"/>
  <c r="BO307" i="1"/>
  <c r="BM307" i="1"/>
  <c r="BI307" i="1"/>
  <c r="BG307" i="1"/>
  <c r="BE307" i="1"/>
  <c r="BC307" i="1"/>
  <c r="BA307" i="1"/>
  <c r="AY307" i="1"/>
  <c r="AW307" i="1"/>
  <c r="AU307" i="1"/>
  <c r="AS307" i="1"/>
  <c r="AQ307" i="1"/>
  <c r="AO307" i="1"/>
  <c r="AI307" i="1"/>
  <c r="AE307" i="1"/>
  <c r="AC307" i="1"/>
  <c r="AB307" i="1"/>
  <c r="DR307" i="1" s="1"/>
  <c r="DV307" i="1" s="1"/>
  <c r="W307" i="1"/>
  <c r="U307" i="1"/>
  <c r="DS307" i="1" s="1"/>
  <c r="DW307" i="1" s="1"/>
  <c r="T307" i="1"/>
  <c r="T297" i="1" s="1"/>
  <c r="S307" i="1"/>
  <c r="Q307" i="1"/>
  <c r="DQ306" i="1"/>
  <c r="DN306" i="1"/>
  <c r="DO306" i="1" s="1"/>
  <c r="DM306" i="1"/>
  <c r="DK306" i="1"/>
  <c r="DI306" i="1"/>
  <c r="DG306" i="1"/>
  <c r="DE306" i="1"/>
  <c r="DC306" i="1"/>
  <c r="CY306" i="1"/>
  <c r="CU306" i="1"/>
  <c r="CS306" i="1"/>
  <c r="CQ306" i="1"/>
  <c r="CO306" i="1"/>
  <c r="CM306" i="1"/>
  <c r="CI306" i="1"/>
  <c r="CG306" i="1"/>
  <c r="CE306" i="1"/>
  <c r="CC306" i="1"/>
  <c r="CA306" i="1"/>
  <c r="BY306" i="1"/>
  <c r="BW306" i="1"/>
  <c r="BU306" i="1"/>
  <c r="BS306" i="1"/>
  <c r="BQ306" i="1"/>
  <c r="BO306" i="1"/>
  <c r="BM306" i="1"/>
  <c r="BK306" i="1"/>
  <c r="BI306" i="1"/>
  <c r="BG306" i="1"/>
  <c r="BE306" i="1"/>
  <c r="BC306" i="1"/>
  <c r="BA306" i="1"/>
  <c r="AY306" i="1"/>
  <c r="AW306" i="1"/>
  <c r="AU306" i="1"/>
  <c r="AS306" i="1"/>
  <c r="AQ306" i="1"/>
  <c r="AO306" i="1"/>
  <c r="AI306" i="1"/>
  <c r="AE306" i="1"/>
  <c r="AC306" i="1"/>
  <c r="AB306" i="1"/>
  <c r="W306" i="1"/>
  <c r="U306" i="1"/>
  <c r="S306" i="1"/>
  <c r="Q306" i="1"/>
  <c r="DQ305" i="1"/>
  <c r="DO305" i="1"/>
  <c r="DN305" i="1"/>
  <c r="DM305" i="1"/>
  <c r="DK305" i="1"/>
  <c r="DH305" i="1"/>
  <c r="DI305" i="1" s="1"/>
  <c r="DG305" i="1"/>
  <c r="DE305" i="1"/>
  <c r="DC305" i="1"/>
  <c r="CY305" i="1"/>
  <c r="CU305" i="1"/>
  <c r="CS305" i="1"/>
  <c r="CQ305" i="1"/>
  <c r="CO305" i="1"/>
  <c r="CM305" i="1"/>
  <c r="CI305" i="1"/>
  <c r="CG305" i="1"/>
  <c r="CE305" i="1"/>
  <c r="CC305" i="1"/>
  <c r="CA305" i="1"/>
  <c r="BY305" i="1"/>
  <c r="BW305" i="1"/>
  <c r="BU305" i="1"/>
  <c r="BS305" i="1"/>
  <c r="BQ305" i="1"/>
  <c r="BO305" i="1"/>
  <c r="BM305" i="1"/>
  <c r="BK305" i="1"/>
  <c r="BI305" i="1"/>
  <c r="BG305" i="1"/>
  <c r="BE305" i="1"/>
  <c r="BC305" i="1"/>
  <c r="BA305" i="1"/>
  <c r="AY305" i="1"/>
  <c r="AT305" i="1"/>
  <c r="AU305" i="1" s="1"/>
  <c r="AS305" i="1"/>
  <c r="AQ305" i="1"/>
  <c r="AO305" i="1"/>
  <c r="AI305" i="1"/>
  <c r="AE305" i="1"/>
  <c r="AC305" i="1"/>
  <c r="AB305" i="1"/>
  <c r="DR305" i="1" s="1"/>
  <c r="DV305" i="1" s="1"/>
  <c r="W305" i="1"/>
  <c r="U305" i="1"/>
  <c r="S305" i="1"/>
  <c r="Q305" i="1"/>
  <c r="DQ304" i="1"/>
  <c r="DO304" i="1"/>
  <c r="DM304" i="1"/>
  <c r="DK304" i="1"/>
  <c r="DI304" i="1"/>
  <c r="DG304" i="1"/>
  <c r="DE304" i="1"/>
  <c r="DC304" i="1"/>
  <c r="CY304" i="1"/>
  <c r="CU304" i="1"/>
  <c r="CS304" i="1"/>
  <c r="CQ304" i="1"/>
  <c r="CO304" i="1"/>
  <c r="CM304" i="1"/>
  <c r="CI304" i="1"/>
  <c r="CG304" i="1"/>
  <c r="CE304" i="1"/>
  <c r="CC304" i="1"/>
  <c r="CA304" i="1"/>
  <c r="BY304" i="1"/>
  <c r="BW304" i="1"/>
  <c r="BU304" i="1"/>
  <c r="BS304" i="1"/>
  <c r="BQ304" i="1"/>
  <c r="BO304" i="1"/>
  <c r="BM304" i="1"/>
  <c r="BK304" i="1"/>
  <c r="BI304" i="1"/>
  <c r="BG304" i="1"/>
  <c r="BE304" i="1"/>
  <c r="BC304" i="1"/>
  <c r="BA304" i="1"/>
  <c r="AY304" i="1"/>
  <c r="AU304" i="1"/>
  <c r="AT304" i="1"/>
  <c r="AS304" i="1"/>
  <c r="AQ304" i="1"/>
  <c r="AO304" i="1"/>
  <c r="AI304" i="1"/>
  <c r="AE304" i="1"/>
  <c r="AC304" i="1"/>
  <c r="AB304" i="1"/>
  <c r="DR304" i="1" s="1"/>
  <c r="DV304" i="1" s="1"/>
  <c r="W304" i="1"/>
  <c r="U304" i="1"/>
  <c r="S304" i="1"/>
  <c r="Q304" i="1"/>
  <c r="DN303" i="1"/>
  <c r="DO303" i="1" s="1"/>
  <c r="DL303" i="1"/>
  <c r="DM303" i="1" s="1"/>
  <c r="DK303" i="1"/>
  <c r="DH303" i="1"/>
  <c r="DI303" i="1" s="1"/>
  <c r="DE303" i="1"/>
  <c r="DC303" i="1"/>
  <c r="CY303" i="1"/>
  <c r="CU303" i="1"/>
  <c r="CS303" i="1"/>
  <c r="CQ303" i="1"/>
  <c r="CO303" i="1"/>
  <c r="CM303" i="1"/>
  <c r="CI303" i="1"/>
  <c r="CG303" i="1"/>
  <c r="CE303" i="1"/>
  <c r="CC303" i="1"/>
  <c r="CA303" i="1"/>
  <c r="BY303" i="1"/>
  <c r="BW303" i="1"/>
  <c r="BU303" i="1"/>
  <c r="BS303" i="1"/>
  <c r="BQ303" i="1"/>
  <c r="BO303" i="1"/>
  <c r="BM303" i="1"/>
  <c r="BI303" i="1"/>
  <c r="BG303" i="1"/>
  <c r="BE303" i="1"/>
  <c r="BC303" i="1"/>
  <c r="BA303" i="1"/>
  <c r="AY303" i="1"/>
  <c r="AU303" i="1"/>
  <c r="AS303" i="1"/>
  <c r="AQ303" i="1"/>
  <c r="AO303" i="1"/>
  <c r="AI303" i="1"/>
  <c r="AE303" i="1"/>
  <c r="AC303" i="1"/>
  <c r="AB303" i="1"/>
  <c r="W303" i="1"/>
  <c r="U303" i="1"/>
  <c r="S303" i="1"/>
  <c r="Q303" i="1"/>
  <c r="DN302" i="1"/>
  <c r="DO302" i="1" s="1"/>
  <c r="DL302" i="1"/>
  <c r="DM302" i="1" s="1"/>
  <c r="DK302" i="1"/>
  <c r="DH302" i="1"/>
  <c r="DI302" i="1" s="1"/>
  <c r="DE302" i="1"/>
  <c r="DC302" i="1"/>
  <c r="CY302" i="1"/>
  <c r="CU302" i="1"/>
  <c r="CS302" i="1"/>
  <c r="CQ302" i="1"/>
  <c r="CO302" i="1"/>
  <c r="CM302" i="1"/>
  <c r="CI302" i="1"/>
  <c r="CG302" i="1"/>
  <c r="CE302" i="1"/>
  <c r="CC302" i="1"/>
  <c r="CA302" i="1"/>
  <c r="BY302" i="1"/>
  <c r="BW302" i="1"/>
  <c r="BU302" i="1"/>
  <c r="BS302" i="1"/>
  <c r="BQ302" i="1"/>
  <c r="BO302" i="1"/>
  <c r="BM302" i="1"/>
  <c r="BI302" i="1"/>
  <c r="BG302" i="1"/>
  <c r="BE302" i="1"/>
  <c r="BC302" i="1"/>
  <c r="BA302" i="1"/>
  <c r="AY302" i="1"/>
  <c r="AW302" i="1"/>
  <c r="AU302" i="1"/>
  <c r="AS302" i="1"/>
  <c r="AQ302" i="1"/>
  <c r="AO302" i="1"/>
  <c r="AI302" i="1"/>
  <c r="AE302" i="1"/>
  <c r="AC302" i="1"/>
  <c r="AB302" i="1"/>
  <c r="DR302" i="1" s="1"/>
  <c r="DV302" i="1" s="1"/>
  <c r="W302" i="1"/>
  <c r="U302" i="1"/>
  <c r="S302" i="1"/>
  <c r="Q302" i="1"/>
  <c r="DN301" i="1"/>
  <c r="DO301" i="1" s="1"/>
  <c r="DM301" i="1"/>
  <c r="DL301" i="1"/>
  <c r="DK301" i="1"/>
  <c r="DH301" i="1"/>
  <c r="DI301" i="1" s="1"/>
  <c r="DG301" i="1"/>
  <c r="DE301" i="1"/>
  <c r="DC301" i="1"/>
  <c r="CY301" i="1"/>
  <c r="CU301" i="1"/>
  <c r="CS301" i="1"/>
  <c r="CQ301" i="1"/>
  <c r="CO301" i="1"/>
  <c r="CM301" i="1"/>
  <c r="CI301" i="1"/>
  <c r="CG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G301" i="1"/>
  <c r="BE301" i="1"/>
  <c r="BC301" i="1"/>
  <c r="BA301" i="1"/>
  <c r="AY301" i="1"/>
  <c r="AW301" i="1"/>
  <c r="AU301" i="1"/>
  <c r="AS301" i="1"/>
  <c r="AQ301" i="1"/>
  <c r="AO301" i="1"/>
  <c r="AI301" i="1"/>
  <c r="AE301" i="1"/>
  <c r="AC301" i="1"/>
  <c r="AB301" i="1"/>
  <c r="W301" i="1"/>
  <c r="U301" i="1"/>
  <c r="S301" i="1"/>
  <c r="Q301" i="1"/>
  <c r="DO300" i="1"/>
  <c r="DN300" i="1"/>
  <c r="DL300" i="1"/>
  <c r="DK300" i="1"/>
  <c r="DH300" i="1"/>
  <c r="DI300" i="1" s="1"/>
  <c r="DE300" i="1"/>
  <c r="DC300" i="1"/>
  <c r="CY300" i="1"/>
  <c r="CU300" i="1"/>
  <c r="CS300" i="1"/>
  <c r="CQ300" i="1"/>
  <c r="CO300" i="1"/>
  <c r="CM300" i="1"/>
  <c r="CI300" i="1"/>
  <c r="CG300" i="1"/>
  <c r="CE300" i="1"/>
  <c r="CC300" i="1"/>
  <c r="CA300" i="1"/>
  <c r="BY300" i="1"/>
  <c r="BW300" i="1"/>
  <c r="BU300" i="1"/>
  <c r="BS300" i="1"/>
  <c r="BQ300" i="1"/>
  <c r="BO300" i="1"/>
  <c r="BM300" i="1"/>
  <c r="BI300" i="1"/>
  <c r="BG300" i="1"/>
  <c r="BE300" i="1"/>
  <c r="BC300" i="1"/>
  <c r="BA300" i="1"/>
  <c r="AY300" i="1"/>
  <c r="AW300" i="1"/>
  <c r="AU300" i="1"/>
  <c r="AS300" i="1"/>
  <c r="AQ300" i="1"/>
  <c r="AO300" i="1"/>
  <c r="AI300" i="1"/>
  <c r="AE300" i="1"/>
  <c r="AC300" i="1"/>
  <c r="AB300" i="1"/>
  <c r="W300" i="1"/>
  <c r="U300" i="1"/>
  <c r="S300" i="1"/>
  <c r="Q300" i="1"/>
  <c r="DN299" i="1"/>
  <c r="DO299" i="1" s="1"/>
  <c r="DM299" i="1"/>
  <c r="DK299" i="1"/>
  <c r="DI299" i="1"/>
  <c r="DG299" i="1"/>
  <c r="DG297" i="1" s="1"/>
  <c r="DE299" i="1"/>
  <c r="DC299" i="1"/>
  <c r="CY299" i="1"/>
  <c r="CU299" i="1"/>
  <c r="CS299" i="1"/>
  <c r="CQ299" i="1"/>
  <c r="CO299" i="1"/>
  <c r="CM299" i="1"/>
  <c r="CI299" i="1"/>
  <c r="CG299" i="1"/>
  <c r="CE299" i="1"/>
  <c r="CC299" i="1"/>
  <c r="CA299" i="1"/>
  <c r="BY299" i="1"/>
  <c r="BW299" i="1"/>
  <c r="BU299" i="1"/>
  <c r="BS299" i="1"/>
  <c r="BQ299" i="1"/>
  <c r="BO299" i="1"/>
  <c r="BM299" i="1"/>
  <c r="BK299" i="1"/>
  <c r="BI299" i="1"/>
  <c r="BG299" i="1"/>
  <c r="BE299" i="1"/>
  <c r="BC299" i="1"/>
  <c r="BA299" i="1"/>
  <c r="AY299" i="1"/>
  <c r="AW299" i="1"/>
  <c r="AU299" i="1"/>
  <c r="AS299" i="1"/>
  <c r="AQ299" i="1"/>
  <c r="AO299" i="1"/>
  <c r="AI299" i="1"/>
  <c r="AE299" i="1"/>
  <c r="AC299" i="1"/>
  <c r="AB299" i="1"/>
  <c r="W299" i="1"/>
  <c r="U299" i="1"/>
  <c r="S299" i="1"/>
  <c r="Q299" i="1"/>
  <c r="DR298" i="1"/>
  <c r="DO298" i="1"/>
  <c r="DN298" i="1"/>
  <c r="DM298" i="1"/>
  <c r="DL298" i="1"/>
  <c r="DK298" i="1"/>
  <c r="DI298" i="1"/>
  <c r="DE298" i="1"/>
  <c r="DC298" i="1"/>
  <c r="CY298" i="1"/>
  <c r="CU298" i="1"/>
  <c r="CS298" i="1"/>
  <c r="CS297" i="1" s="1"/>
  <c r="CQ298" i="1"/>
  <c r="CO298" i="1"/>
  <c r="CM298" i="1"/>
  <c r="CI298" i="1"/>
  <c r="CG298" i="1"/>
  <c r="CE298" i="1"/>
  <c r="CC298" i="1"/>
  <c r="CA298" i="1"/>
  <c r="BY298" i="1"/>
  <c r="BW298" i="1"/>
  <c r="BU298" i="1"/>
  <c r="BS298" i="1"/>
  <c r="BQ298" i="1"/>
  <c r="BO298" i="1"/>
  <c r="BM298" i="1"/>
  <c r="BI298" i="1"/>
  <c r="BG298" i="1"/>
  <c r="BE298" i="1"/>
  <c r="BC298" i="1"/>
  <c r="BA298" i="1"/>
  <c r="AY298" i="1"/>
  <c r="AW298" i="1"/>
  <c r="AU298" i="1"/>
  <c r="AS298" i="1"/>
  <c r="AQ298" i="1"/>
  <c r="AO298" i="1"/>
  <c r="AI298" i="1"/>
  <c r="AE298" i="1"/>
  <c r="AC298" i="1"/>
  <c r="AB298" i="1"/>
  <c r="W298" i="1"/>
  <c r="U298" i="1"/>
  <c r="S298" i="1"/>
  <c r="Q298" i="1"/>
  <c r="DP297" i="1"/>
  <c r="DJ297" i="1"/>
  <c r="DF297" i="1"/>
  <c r="DD297" i="1"/>
  <c r="DB297" i="1"/>
  <c r="CZ297" i="1"/>
  <c r="CX297" i="1"/>
  <c r="CV297" i="1"/>
  <c r="CT297" i="1"/>
  <c r="CR297" i="1"/>
  <c r="CP297" i="1"/>
  <c r="CN297" i="1"/>
  <c r="CL297" i="1"/>
  <c r="CK297" i="1"/>
  <c r="CJ297" i="1"/>
  <c r="CH297" i="1"/>
  <c r="CF297" i="1"/>
  <c r="CD297" i="1"/>
  <c r="CB297" i="1"/>
  <c r="BZ297" i="1"/>
  <c r="BX297" i="1"/>
  <c r="BV297" i="1"/>
  <c r="BT297" i="1"/>
  <c r="BR297" i="1"/>
  <c r="BP297" i="1"/>
  <c r="BN297" i="1"/>
  <c r="BL297" i="1"/>
  <c r="BJ297" i="1"/>
  <c r="BH297" i="1"/>
  <c r="BF297" i="1"/>
  <c r="BD297" i="1"/>
  <c r="BB297" i="1"/>
  <c r="AZ297" i="1"/>
  <c r="AX297" i="1"/>
  <c r="AV297" i="1"/>
  <c r="AT297" i="1"/>
  <c r="AR297" i="1"/>
  <c r="AP297" i="1"/>
  <c r="AN297" i="1"/>
  <c r="AM297" i="1"/>
  <c r="AL297" i="1"/>
  <c r="AK297" i="1"/>
  <c r="AJ297" i="1"/>
  <c r="AH297" i="1"/>
  <c r="AG297" i="1"/>
  <c r="AF297" i="1"/>
  <c r="AD297" i="1"/>
  <c r="V297" i="1"/>
  <c r="R297" i="1"/>
  <c r="P297" i="1"/>
  <c r="DN296" i="1"/>
  <c r="DO296" i="1" s="1"/>
  <c r="DO295" i="1" s="1"/>
  <c r="DM296" i="1"/>
  <c r="DM295" i="1" s="1"/>
  <c r="DK296" i="1"/>
  <c r="DK295" i="1" s="1"/>
  <c r="DI296" i="1"/>
  <c r="DI295" i="1" s="1"/>
  <c r="DG296" i="1"/>
  <c r="DE296" i="1"/>
  <c r="DC296" i="1"/>
  <c r="CY296" i="1"/>
  <c r="CY295" i="1" s="1"/>
  <c r="CU296" i="1"/>
  <c r="CS296" i="1"/>
  <c r="CS295" i="1" s="1"/>
  <c r="CQ296" i="1"/>
  <c r="CQ295" i="1" s="1"/>
  <c r="CO296" i="1"/>
  <c r="CM296" i="1"/>
  <c r="CI296" i="1"/>
  <c r="CI295" i="1" s="1"/>
  <c r="CG296" i="1"/>
  <c r="CE296" i="1"/>
  <c r="CE295" i="1" s="1"/>
  <c r="CC296" i="1"/>
  <c r="CC295" i="1" s="1"/>
  <c r="CA296" i="1"/>
  <c r="CA295" i="1" s="1"/>
  <c r="BY296" i="1"/>
  <c r="BW296" i="1"/>
  <c r="BW295" i="1" s="1"/>
  <c r="BU296" i="1"/>
  <c r="BS296" i="1"/>
  <c r="BS295" i="1" s="1"/>
  <c r="BQ296" i="1"/>
  <c r="BQ295" i="1" s="1"/>
  <c r="BO296" i="1"/>
  <c r="BM296" i="1"/>
  <c r="BK296" i="1"/>
  <c r="BK295" i="1" s="1"/>
  <c r="BI296" i="1"/>
  <c r="BG296" i="1"/>
  <c r="BG295" i="1" s="1"/>
  <c r="BE296" i="1"/>
  <c r="BE295" i="1" s="1"/>
  <c r="BC296" i="1"/>
  <c r="BC295" i="1" s="1"/>
  <c r="BA296" i="1"/>
  <c r="AY296" i="1"/>
  <c r="AY295" i="1" s="1"/>
  <c r="AW296" i="1"/>
  <c r="AU296" i="1"/>
  <c r="AU295" i="1" s="1"/>
  <c r="AS296" i="1"/>
  <c r="AS295" i="1" s="1"/>
  <c r="AQ296" i="1"/>
  <c r="AI296" i="1"/>
  <c r="AE296" i="1"/>
  <c r="AE295" i="1" s="1"/>
  <c r="AC296" i="1"/>
  <c r="AC295" i="1" s="1"/>
  <c r="AB296" i="1"/>
  <c r="W296" i="1"/>
  <c r="W295" i="1" s="1"/>
  <c r="U296" i="1"/>
  <c r="U295" i="1" s="1"/>
  <c r="S296" i="1"/>
  <c r="Q296" i="1"/>
  <c r="DQ295" i="1"/>
  <c r="DP295" i="1"/>
  <c r="DL295" i="1"/>
  <c r="DJ295" i="1"/>
  <c r="DH295" i="1"/>
  <c r="DG295" i="1"/>
  <c r="DF295" i="1"/>
  <c r="DE295" i="1"/>
  <c r="DD295" i="1"/>
  <c r="DC295" i="1"/>
  <c r="DB295" i="1"/>
  <c r="CZ295" i="1"/>
  <c r="CX295" i="1"/>
  <c r="CV295" i="1"/>
  <c r="CU295" i="1"/>
  <c r="CT295" i="1"/>
  <c r="CR295" i="1"/>
  <c r="CP295" i="1"/>
  <c r="CO295" i="1"/>
  <c r="CN295" i="1"/>
  <c r="CM295" i="1"/>
  <c r="CL295" i="1"/>
  <c r="CK295" i="1"/>
  <c r="CJ295" i="1"/>
  <c r="CH295" i="1"/>
  <c r="CG295" i="1"/>
  <c r="CF295" i="1"/>
  <c r="CD295" i="1"/>
  <c r="CB295" i="1"/>
  <c r="BZ295" i="1"/>
  <c r="BY295" i="1"/>
  <c r="BX295" i="1"/>
  <c r="BV295" i="1"/>
  <c r="BU295" i="1"/>
  <c r="BT295" i="1"/>
  <c r="BR295" i="1"/>
  <c r="BP295" i="1"/>
  <c r="BO295" i="1"/>
  <c r="BN295" i="1"/>
  <c r="BM295" i="1"/>
  <c r="BL295" i="1"/>
  <c r="BJ295" i="1"/>
  <c r="BI295" i="1"/>
  <c r="BH295" i="1"/>
  <c r="BF295" i="1"/>
  <c r="BD295" i="1"/>
  <c r="BB295" i="1"/>
  <c r="BA295" i="1"/>
  <c r="AZ295" i="1"/>
  <c r="AX295" i="1"/>
  <c r="AW295" i="1"/>
  <c r="AV295" i="1"/>
  <c r="AT295" i="1"/>
  <c r="AR295" i="1"/>
  <c r="AQ295" i="1"/>
  <c r="AP295" i="1"/>
  <c r="AO295" i="1"/>
  <c r="AN295" i="1"/>
  <c r="AM295" i="1"/>
  <c r="AL295" i="1"/>
  <c r="AK295" i="1"/>
  <c r="AJ295" i="1"/>
  <c r="AI295" i="1"/>
  <c r="AH295" i="1"/>
  <c r="AG295" i="1"/>
  <c r="AF295" i="1"/>
  <c r="AD295" i="1"/>
  <c r="V295" i="1"/>
  <c r="T295" i="1"/>
  <c r="S295" i="1"/>
  <c r="R295" i="1"/>
  <c r="P295" i="1"/>
  <c r="DR294" i="1"/>
  <c r="DV294" i="1" s="1"/>
  <c r="DO294" i="1"/>
  <c r="DM294" i="1"/>
  <c r="DK294" i="1"/>
  <c r="DI294" i="1"/>
  <c r="DG294" i="1"/>
  <c r="DE294" i="1"/>
  <c r="DC294" i="1"/>
  <c r="CY294" i="1"/>
  <c r="CU294" i="1"/>
  <c r="CS294" i="1"/>
  <c r="CQ294" i="1"/>
  <c r="CO294" i="1"/>
  <c r="CM294" i="1"/>
  <c r="CI294" i="1"/>
  <c r="CG294" i="1"/>
  <c r="CE294" i="1"/>
  <c r="CC294" i="1"/>
  <c r="CA294" i="1"/>
  <c r="BY294" i="1"/>
  <c r="BW294" i="1"/>
  <c r="BU294" i="1"/>
  <c r="BS294" i="1"/>
  <c r="BQ294" i="1"/>
  <c r="BO294" i="1"/>
  <c r="BM294" i="1"/>
  <c r="BK294" i="1"/>
  <c r="BI294" i="1"/>
  <c r="BG294" i="1"/>
  <c r="BE294" i="1"/>
  <c r="BC294" i="1"/>
  <c r="BA294" i="1"/>
  <c r="AY294" i="1"/>
  <c r="AW294" i="1"/>
  <c r="AU294" i="1"/>
  <c r="AS294" i="1"/>
  <c r="AQ294" i="1"/>
  <c r="AO294" i="1"/>
  <c r="AI294" i="1"/>
  <c r="AE294" i="1"/>
  <c r="AC294" i="1"/>
  <c r="AB294" i="1"/>
  <c r="W294" i="1"/>
  <c r="U294" i="1"/>
  <c r="S294" i="1"/>
  <c r="Q294" i="1"/>
  <c r="DO293" i="1"/>
  <c r="DM293" i="1"/>
  <c r="DK293" i="1"/>
  <c r="DI293" i="1"/>
  <c r="DG293" i="1"/>
  <c r="DE293" i="1"/>
  <c r="DC293" i="1"/>
  <c r="CY293" i="1"/>
  <c r="CU293" i="1"/>
  <c r="CS293" i="1"/>
  <c r="CQ293" i="1"/>
  <c r="CO293" i="1"/>
  <c r="CM293" i="1"/>
  <c r="CI293" i="1"/>
  <c r="CG293" i="1"/>
  <c r="CE293" i="1"/>
  <c r="CC293" i="1"/>
  <c r="CA293" i="1"/>
  <c r="BY293" i="1"/>
  <c r="BW293" i="1"/>
  <c r="BU293" i="1"/>
  <c r="BS293" i="1"/>
  <c r="BQ293" i="1"/>
  <c r="BO293" i="1"/>
  <c r="BM293" i="1"/>
  <c r="BK293" i="1"/>
  <c r="BI293" i="1"/>
  <c r="BG293" i="1"/>
  <c r="BE293" i="1"/>
  <c r="BC293" i="1"/>
  <c r="BA293" i="1"/>
  <c r="AY293" i="1"/>
  <c r="AW293" i="1"/>
  <c r="AU293" i="1"/>
  <c r="AS293" i="1"/>
  <c r="AQ293" i="1"/>
  <c r="AO293" i="1"/>
  <c r="AI293" i="1"/>
  <c r="AE293" i="1"/>
  <c r="AC293" i="1"/>
  <c r="AB293" i="1"/>
  <c r="DR293" i="1" s="1"/>
  <c r="DV293" i="1" s="1"/>
  <c r="W293" i="1"/>
  <c r="U293" i="1"/>
  <c r="S293" i="1"/>
  <c r="Q293" i="1"/>
  <c r="DO292" i="1"/>
  <c r="DM292" i="1"/>
  <c r="DK292" i="1"/>
  <c r="DI292" i="1"/>
  <c r="DG292" i="1"/>
  <c r="DE292" i="1"/>
  <c r="DC292" i="1"/>
  <c r="CY292" i="1"/>
  <c r="CU292" i="1"/>
  <c r="CS292" i="1"/>
  <c r="CQ292" i="1"/>
  <c r="CO292" i="1"/>
  <c r="CM292" i="1"/>
  <c r="CI292" i="1"/>
  <c r="CG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S292" i="1"/>
  <c r="AQ292" i="1"/>
  <c r="AO292" i="1"/>
  <c r="AI292" i="1"/>
  <c r="AE292" i="1"/>
  <c r="AC292" i="1"/>
  <c r="AB292" i="1"/>
  <c r="DR292" i="1" s="1"/>
  <c r="DV292" i="1" s="1"/>
  <c r="W292" i="1"/>
  <c r="U292" i="1"/>
  <c r="S292" i="1"/>
  <c r="Q292" i="1"/>
  <c r="DO291" i="1"/>
  <c r="DM291" i="1"/>
  <c r="DK291" i="1"/>
  <c r="DI291" i="1"/>
  <c r="DG291" i="1"/>
  <c r="DE291" i="1"/>
  <c r="DC291" i="1"/>
  <c r="CY291" i="1"/>
  <c r="CU291" i="1"/>
  <c r="CS291" i="1"/>
  <c r="CQ291" i="1"/>
  <c r="CO291" i="1"/>
  <c r="CM291" i="1"/>
  <c r="CI291" i="1"/>
  <c r="CG291" i="1"/>
  <c r="CE291" i="1"/>
  <c r="CC291" i="1"/>
  <c r="CA291" i="1"/>
  <c r="BY291" i="1"/>
  <c r="BW291" i="1"/>
  <c r="BU291" i="1"/>
  <c r="BS291" i="1"/>
  <c r="BQ291" i="1"/>
  <c r="BO291" i="1"/>
  <c r="BM291" i="1"/>
  <c r="BK291" i="1"/>
  <c r="BI291" i="1"/>
  <c r="BG291" i="1"/>
  <c r="BE291" i="1"/>
  <c r="BC291" i="1"/>
  <c r="BA291" i="1"/>
  <c r="AY291" i="1"/>
  <c r="AW291" i="1"/>
  <c r="AU291" i="1"/>
  <c r="AS291" i="1"/>
  <c r="AQ291" i="1"/>
  <c r="AO291" i="1"/>
  <c r="AI291" i="1"/>
  <c r="AE291" i="1"/>
  <c r="AC291" i="1"/>
  <c r="AB291" i="1"/>
  <c r="DR291" i="1" s="1"/>
  <c r="DV291" i="1" s="1"/>
  <c r="W291" i="1"/>
  <c r="U291" i="1"/>
  <c r="S291" i="1"/>
  <c r="Q291" i="1"/>
  <c r="DO290" i="1"/>
  <c r="DM290" i="1"/>
  <c r="DK290" i="1"/>
  <c r="DI290" i="1"/>
  <c r="DG290" i="1"/>
  <c r="DE290" i="1"/>
  <c r="DC290" i="1"/>
  <c r="CY290" i="1"/>
  <c r="CU290" i="1"/>
  <c r="CS290" i="1"/>
  <c r="CQ290" i="1"/>
  <c r="CO290" i="1"/>
  <c r="CM290" i="1"/>
  <c r="CI290" i="1"/>
  <c r="CG290" i="1"/>
  <c r="CE290" i="1"/>
  <c r="CC290" i="1"/>
  <c r="CA290" i="1"/>
  <c r="BY290" i="1"/>
  <c r="BW290" i="1"/>
  <c r="BU290" i="1"/>
  <c r="BS290" i="1"/>
  <c r="BQ290" i="1"/>
  <c r="BO290" i="1"/>
  <c r="BM290" i="1"/>
  <c r="BK290" i="1"/>
  <c r="BI290" i="1"/>
  <c r="BG290" i="1"/>
  <c r="BE290" i="1"/>
  <c r="BC290" i="1"/>
  <c r="BA290" i="1"/>
  <c r="AY290" i="1"/>
  <c r="AU290" i="1"/>
  <c r="AS290" i="1"/>
  <c r="AQ290" i="1"/>
  <c r="AO290" i="1"/>
  <c r="AI290" i="1"/>
  <c r="AE290" i="1"/>
  <c r="AC290" i="1"/>
  <c r="AB290" i="1"/>
  <c r="DR290" i="1" s="1"/>
  <c r="DV290" i="1" s="1"/>
  <c r="W290" i="1"/>
  <c r="U290" i="1"/>
  <c r="S290" i="1"/>
  <c r="Q290" i="1"/>
  <c r="DO289" i="1"/>
  <c r="DM289" i="1"/>
  <c r="DK289" i="1"/>
  <c r="DI289" i="1"/>
  <c r="DG289" i="1"/>
  <c r="DE289" i="1"/>
  <c r="DC289" i="1"/>
  <c r="CY289" i="1"/>
  <c r="CU289" i="1"/>
  <c r="CS289" i="1"/>
  <c r="CQ289" i="1"/>
  <c r="CO289" i="1"/>
  <c r="CM289" i="1"/>
  <c r="CI289" i="1"/>
  <c r="CG289" i="1"/>
  <c r="CE289" i="1"/>
  <c r="CC289" i="1"/>
  <c r="CA289" i="1"/>
  <c r="BY289" i="1"/>
  <c r="BW289" i="1"/>
  <c r="BU289" i="1"/>
  <c r="BS289" i="1"/>
  <c r="BQ289" i="1"/>
  <c r="BO289" i="1"/>
  <c r="BM289" i="1"/>
  <c r="BK289" i="1"/>
  <c r="BI289" i="1"/>
  <c r="BG289" i="1"/>
  <c r="BE289" i="1"/>
  <c r="BC289" i="1"/>
  <c r="BA289" i="1"/>
  <c r="AY289" i="1"/>
  <c r="AW289" i="1"/>
  <c r="AU289" i="1"/>
  <c r="AS289" i="1"/>
  <c r="AQ289" i="1"/>
  <c r="AO289" i="1"/>
  <c r="AI289" i="1"/>
  <c r="AE289" i="1"/>
  <c r="AC289" i="1"/>
  <c r="AB289" i="1"/>
  <c r="DR289" i="1" s="1"/>
  <c r="DV289" i="1" s="1"/>
  <c r="W289" i="1"/>
  <c r="U289" i="1"/>
  <c r="S289" i="1"/>
  <c r="DS289" i="1" s="1"/>
  <c r="DW289" i="1" s="1"/>
  <c r="Q289" i="1"/>
  <c r="DO288" i="1"/>
  <c r="DM288" i="1"/>
  <c r="DK288" i="1"/>
  <c r="DI288" i="1"/>
  <c r="DG288" i="1"/>
  <c r="DE288" i="1"/>
  <c r="DC288" i="1"/>
  <c r="CY288" i="1"/>
  <c r="CU288" i="1"/>
  <c r="CS288" i="1"/>
  <c r="CQ288" i="1"/>
  <c r="CO288" i="1"/>
  <c r="CM288" i="1"/>
  <c r="CI288" i="1"/>
  <c r="CG288" i="1"/>
  <c r="CE288" i="1"/>
  <c r="CC288" i="1"/>
  <c r="CA288" i="1"/>
  <c r="BY288" i="1"/>
  <c r="BW288" i="1"/>
  <c r="BU288" i="1"/>
  <c r="BS288" i="1"/>
  <c r="BQ288" i="1"/>
  <c r="BO288" i="1"/>
  <c r="BM288" i="1"/>
  <c r="BK288" i="1"/>
  <c r="BI288" i="1"/>
  <c r="BG288" i="1"/>
  <c r="BE288" i="1"/>
  <c r="BC288" i="1"/>
  <c r="BA288" i="1"/>
  <c r="AY288" i="1"/>
  <c r="AW288" i="1"/>
  <c r="AU288" i="1"/>
  <c r="AS288" i="1"/>
  <c r="AQ288" i="1"/>
  <c r="AO288" i="1"/>
  <c r="AI288" i="1"/>
  <c r="AE288" i="1"/>
  <c r="AC288" i="1"/>
  <c r="AB288" i="1"/>
  <c r="DR288" i="1" s="1"/>
  <c r="DV288" i="1" s="1"/>
  <c r="W288" i="1"/>
  <c r="U288" i="1"/>
  <c r="S288" i="1"/>
  <c r="Q288" i="1"/>
  <c r="DO287" i="1"/>
  <c r="DM287" i="1"/>
  <c r="DK287" i="1"/>
  <c r="DI287" i="1"/>
  <c r="DG287" i="1"/>
  <c r="DE287" i="1"/>
  <c r="DC287" i="1"/>
  <c r="CY287" i="1"/>
  <c r="CU287" i="1"/>
  <c r="CS287" i="1"/>
  <c r="CQ287" i="1"/>
  <c r="CO287" i="1"/>
  <c r="CM287" i="1"/>
  <c r="CI287" i="1"/>
  <c r="CG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I287" i="1"/>
  <c r="AE287" i="1"/>
  <c r="AC287" i="1"/>
  <c r="AB287" i="1"/>
  <c r="DR287" i="1" s="1"/>
  <c r="DV287" i="1" s="1"/>
  <c r="W287" i="1"/>
  <c r="U287" i="1"/>
  <c r="S287" i="1"/>
  <c r="Q287" i="1"/>
  <c r="DO286" i="1"/>
  <c r="DM286" i="1"/>
  <c r="DK286" i="1"/>
  <c r="DI286" i="1"/>
  <c r="DG286" i="1"/>
  <c r="DE286" i="1"/>
  <c r="DC286" i="1"/>
  <c r="CY286" i="1"/>
  <c r="CU286" i="1"/>
  <c r="CS286" i="1"/>
  <c r="CQ286" i="1"/>
  <c r="CO286" i="1"/>
  <c r="CM286" i="1"/>
  <c r="CI286" i="1"/>
  <c r="CG286" i="1"/>
  <c r="CE286" i="1"/>
  <c r="CC286" i="1"/>
  <c r="CA286" i="1"/>
  <c r="BY286" i="1"/>
  <c r="BW286" i="1"/>
  <c r="BU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O286" i="1"/>
  <c r="AI286" i="1"/>
  <c r="AE286" i="1"/>
  <c r="AC286" i="1"/>
  <c r="AB286" i="1"/>
  <c r="DR286" i="1" s="1"/>
  <c r="DV286" i="1" s="1"/>
  <c r="W286" i="1"/>
  <c r="U286" i="1"/>
  <c r="S286" i="1"/>
  <c r="Q286" i="1"/>
  <c r="DS286" i="1" s="1"/>
  <c r="DW286" i="1" s="1"/>
  <c r="DN285" i="1"/>
  <c r="DO285" i="1" s="1"/>
  <c r="DL285" i="1"/>
  <c r="DM285" i="1" s="1"/>
  <c r="DK285" i="1"/>
  <c r="DI285" i="1"/>
  <c r="DG285" i="1"/>
  <c r="DE285" i="1"/>
  <c r="DC285" i="1"/>
  <c r="CY285" i="1"/>
  <c r="CU285" i="1"/>
  <c r="CT285" i="1"/>
  <c r="CS285" i="1"/>
  <c r="CQ285" i="1"/>
  <c r="CO285" i="1"/>
  <c r="CM285" i="1"/>
  <c r="CI285" i="1"/>
  <c r="CG285" i="1"/>
  <c r="CE285" i="1"/>
  <c r="CC285" i="1"/>
  <c r="CA285" i="1"/>
  <c r="BY285" i="1"/>
  <c r="BW285" i="1"/>
  <c r="BU285" i="1"/>
  <c r="BS285" i="1"/>
  <c r="BQ285" i="1"/>
  <c r="BO285" i="1"/>
  <c r="BM285" i="1"/>
  <c r="BK285" i="1"/>
  <c r="BI285" i="1"/>
  <c r="BG285" i="1"/>
  <c r="BE285" i="1"/>
  <c r="BC285" i="1"/>
  <c r="BA285" i="1"/>
  <c r="AY285" i="1"/>
  <c r="AW285" i="1"/>
  <c r="AU285" i="1"/>
  <c r="AT285" i="1"/>
  <c r="AT282" i="1" s="1"/>
  <c r="AS285" i="1"/>
  <c r="AQ285" i="1"/>
  <c r="AO285" i="1"/>
  <c r="AI285" i="1"/>
  <c r="AE285" i="1"/>
  <c r="AC285" i="1"/>
  <c r="AB285" i="1"/>
  <c r="W285" i="1"/>
  <c r="U285" i="1"/>
  <c r="S285" i="1"/>
  <c r="Q285" i="1"/>
  <c r="DS285" i="1" s="1"/>
  <c r="DW285" i="1" s="1"/>
  <c r="DO284" i="1"/>
  <c r="DM284" i="1"/>
  <c r="DK284" i="1"/>
  <c r="DI284" i="1"/>
  <c r="DG284" i="1"/>
  <c r="DE284" i="1"/>
  <c r="DC284" i="1"/>
  <c r="CY284" i="1"/>
  <c r="CU284" i="1"/>
  <c r="CS284" i="1"/>
  <c r="CQ284" i="1"/>
  <c r="CO284" i="1"/>
  <c r="CM284" i="1"/>
  <c r="CI284" i="1"/>
  <c r="CG284" i="1"/>
  <c r="CE284" i="1"/>
  <c r="CC284" i="1"/>
  <c r="CA284" i="1"/>
  <c r="BY284" i="1"/>
  <c r="BW284" i="1"/>
  <c r="BU284" i="1"/>
  <c r="BS284" i="1"/>
  <c r="BQ284" i="1"/>
  <c r="BO284" i="1"/>
  <c r="BM284" i="1"/>
  <c r="BK284" i="1"/>
  <c r="BI284" i="1"/>
  <c r="BG284" i="1"/>
  <c r="BE284" i="1"/>
  <c r="BC284" i="1"/>
  <c r="BA284" i="1"/>
  <c r="AY284" i="1"/>
  <c r="AW284" i="1"/>
  <c r="AU284" i="1"/>
  <c r="AS284" i="1"/>
  <c r="AQ284" i="1"/>
  <c r="AO284" i="1"/>
  <c r="AI284" i="1"/>
  <c r="AE284" i="1"/>
  <c r="AC284" i="1"/>
  <c r="AB284" i="1"/>
  <c r="W284" i="1"/>
  <c r="U284" i="1"/>
  <c r="S284" i="1"/>
  <c r="Q284" i="1"/>
  <c r="DO283" i="1"/>
  <c r="DN283" i="1"/>
  <c r="DL283" i="1"/>
  <c r="DK283" i="1"/>
  <c r="DI283" i="1"/>
  <c r="DG283" i="1"/>
  <c r="DE283" i="1"/>
  <c r="DC283" i="1"/>
  <c r="CY283" i="1"/>
  <c r="CY282" i="1" s="1"/>
  <c r="CT283" i="1"/>
  <c r="CU283" i="1" s="1"/>
  <c r="CS283" i="1"/>
  <c r="CQ283" i="1"/>
  <c r="CO283" i="1"/>
  <c r="CM283" i="1"/>
  <c r="CI283" i="1"/>
  <c r="CG283" i="1"/>
  <c r="CE283" i="1"/>
  <c r="CC283" i="1"/>
  <c r="CA283" i="1"/>
  <c r="BY283" i="1"/>
  <c r="BW283" i="1"/>
  <c r="BU283" i="1"/>
  <c r="BS283" i="1"/>
  <c r="BQ283" i="1"/>
  <c r="BO283" i="1"/>
  <c r="BM283" i="1"/>
  <c r="BK283" i="1"/>
  <c r="BI283" i="1"/>
  <c r="BG283" i="1"/>
  <c r="BE283" i="1"/>
  <c r="BC283" i="1"/>
  <c r="BA283" i="1"/>
  <c r="AY283" i="1"/>
  <c r="AW283" i="1"/>
  <c r="AU283" i="1"/>
  <c r="AS283" i="1"/>
  <c r="AQ283" i="1"/>
  <c r="AO283" i="1"/>
  <c r="AI283" i="1"/>
  <c r="AE283" i="1"/>
  <c r="AC283" i="1"/>
  <c r="AB283" i="1"/>
  <c r="W283" i="1"/>
  <c r="U283" i="1"/>
  <c r="S283" i="1"/>
  <c r="Q283" i="1"/>
  <c r="DQ282" i="1"/>
  <c r="DP282" i="1"/>
  <c r="DJ282" i="1"/>
  <c r="DH282" i="1"/>
  <c r="DF282" i="1"/>
  <c r="DD282" i="1"/>
  <c r="DB282" i="1"/>
  <c r="CZ282" i="1"/>
  <c r="CX282" i="1"/>
  <c r="CV282" i="1"/>
  <c r="CR282" i="1"/>
  <c r="CP282" i="1"/>
  <c r="CN282" i="1"/>
  <c r="CL282" i="1"/>
  <c r="CK282" i="1"/>
  <c r="CJ282" i="1"/>
  <c r="CH282" i="1"/>
  <c r="CF282" i="1"/>
  <c r="CD282" i="1"/>
  <c r="CB282" i="1"/>
  <c r="BZ282" i="1"/>
  <c r="BX282" i="1"/>
  <c r="BV282" i="1"/>
  <c r="BT282" i="1"/>
  <c r="BR282" i="1"/>
  <c r="BP282" i="1"/>
  <c r="BN282" i="1"/>
  <c r="BL282" i="1"/>
  <c r="BJ282" i="1"/>
  <c r="BH282" i="1"/>
  <c r="BF282" i="1"/>
  <c r="BD282" i="1"/>
  <c r="BB282" i="1"/>
  <c r="AZ282" i="1"/>
  <c r="AX282" i="1"/>
  <c r="AV282" i="1"/>
  <c r="AR282" i="1"/>
  <c r="AP282" i="1"/>
  <c r="AN282" i="1"/>
  <c r="AM282" i="1"/>
  <c r="AL282" i="1"/>
  <c r="AK282" i="1"/>
  <c r="AJ282" i="1"/>
  <c r="AH282" i="1"/>
  <c r="AG282" i="1"/>
  <c r="AF282" i="1"/>
  <c r="AD282" i="1"/>
  <c r="V282" i="1"/>
  <c r="T282" i="1"/>
  <c r="R282" i="1"/>
  <c r="P282" i="1"/>
  <c r="DO281" i="1"/>
  <c r="DM281" i="1"/>
  <c r="DK281" i="1"/>
  <c r="DI281" i="1"/>
  <c r="DG281" i="1"/>
  <c r="DE281" i="1"/>
  <c r="DC281" i="1"/>
  <c r="CY281" i="1"/>
  <c r="CU281" i="1"/>
  <c r="CS281" i="1"/>
  <c r="CQ281" i="1"/>
  <c r="CO281" i="1"/>
  <c r="CM281" i="1"/>
  <c r="CI281" i="1"/>
  <c r="CG281" i="1"/>
  <c r="CE281" i="1"/>
  <c r="CC281" i="1"/>
  <c r="CA281" i="1"/>
  <c r="BY281" i="1"/>
  <c r="BW281" i="1"/>
  <c r="BU281" i="1"/>
  <c r="BS281" i="1"/>
  <c r="BQ281" i="1"/>
  <c r="BO281" i="1"/>
  <c r="BM281" i="1"/>
  <c r="BK281" i="1"/>
  <c r="BI281" i="1"/>
  <c r="BG281" i="1"/>
  <c r="BE281" i="1"/>
  <c r="BC281" i="1"/>
  <c r="BA281" i="1"/>
  <c r="AY281" i="1"/>
  <c r="AW281" i="1"/>
  <c r="AU281" i="1"/>
  <c r="AS281" i="1"/>
  <c r="AQ281" i="1"/>
  <c r="AO281" i="1"/>
  <c r="AI281" i="1"/>
  <c r="AE281" i="1"/>
  <c r="AC281" i="1"/>
  <c r="AB281" i="1"/>
  <c r="DR281" i="1" s="1"/>
  <c r="DV281" i="1" s="1"/>
  <c r="W281" i="1"/>
  <c r="U281" i="1"/>
  <c r="S281" i="1"/>
  <c r="Q281" i="1"/>
  <c r="DO280" i="1"/>
  <c r="DN280" i="1"/>
  <c r="DM280" i="1"/>
  <c r="DK280" i="1"/>
  <c r="DI280" i="1"/>
  <c r="DG280" i="1"/>
  <c r="DE280" i="1"/>
  <c r="DE277" i="1" s="1"/>
  <c r="DC280" i="1"/>
  <c r="CY280" i="1"/>
  <c r="CU280" i="1"/>
  <c r="CS280" i="1"/>
  <c r="CQ280" i="1"/>
  <c r="CO280" i="1"/>
  <c r="CO277" i="1" s="1"/>
  <c r="CM280" i="1"/>
  <c r="CI280" i="1"/>
  <c r="CG280" i="1"/>
  <c r="CE280" i="1"/>
  <c r="CC280" i="1"/>
  <c r="CA280" i="1"/>
  <c r="BY280" i="1"/>
  <c r="BW280" i="1"/>
  <c r="BU280" i="1"/>
  <c r="BS280" i="1"/>
  <c r="BQ280" i="1"/>
  <c r="BO280" i="1"/>
  <c r="BM280" i="1"/>
  <c r="BK280" i="1"/>
  <c r="BI280" i="1"/>
  <c r="BG280" i="1"/>
  <c r="BE280" i="1"/>
  <c r="BC280" i="1"/>
  <c r="BA280" i="1"/>
  <c r="AY280" i="1"/>
  <c r="AW280" i="1"/>
  <c r="AU280" i="1"/>
  <c r="AS280" i="1"/>
  <c r="AQ280" i="1"/>
  <c r="AO280" i="1"/>
  <c r="AI280" i="1"/>
  <c r="AE280" i="1"/>
  <c r="AC280" i="1"/>
  <c r="AB280" i="1"/>
  <c r="W280" i="1"/>
  <c r="U280" i="1"/>
  <c r="S280" i="1"/>
  <c r="Q280" i="1"/>
  <c r="DO279" i="1"/>
  <c r="DN279" i="1"/>
  <c r="DL279" i="1"/>
  <c r="DK279" i="1"/>
  <c r="DH279" i="1"/>
  <c r="DG279" i="1"/>
  <c r="DE279" i="1"/>
  <c r="DC279" i="1"/>
  <c r="CY279" i="1"/>
  <c r="CU279" i="1"/>
  <c r="CS279" i="1"/>
  <c r="CQ279" i="1"/>
  <c r="CO279" i="1"/>
  <c r="CM279" i="1"/>
  <c r="CI279" i="1"/>
  <c r="CG279" i="1"/>
  <c r="CE279" i="1"/>
  <c r="CC279" i="1"/>
  <c r="CA279" i="1"/>
  <c r="BY279" i="1"/>
  <c r="BW279" i="1"/>
  <c r="BU279" i="1"/>
  <c r="BS279" i="1"/>
  <c r="BQ279" i="1"/>
  <c r="BO279" i="1"/>
  <c r="BM279" i="1"/>
  <c r="BK279" i="1"/>
  <c r="BI279" i="1"/>
  <c r="BG279" i="1"/>
  <c r="BE279" i="1"/>
  <c r="BC279" i="1"/>
  <c r="BA279" i="1"/>
  <c r="AY279" i="1"/>
  <c r="AW279" i="1"/>
  <c r="AU279" i="1"/>
  <c r="AS279" i="1"/>
  <c r="AQ279" i="1"/>
  <c r="AO279" i="1"/>
  <c r="AI279" i="1"/>
  <c r="AE279" i="1"/>
  <c r="AC279" i="1"/>
  <c r="AB279" i="1"/>
  <c r="W279" i="1"/>
  <c r="T279" i="1"/>
  <c r="S279" i="1"/>
  <c r="Q279" i="1"/>
  <c r="DO278" i="1"/>
  <c r="DM278" i="1"/>
  <c r="DK278" i="1"/>
  <c r="DI278" i="1"/>
  <c r="DG278" i="1"/>
  <c r="DE278" i="1"/>
  <c r="DC278" i="1"/>
  <c r="DC277" i="1" s="1"/>
  <c r="CY278" i="1"/>
  <c r="CY277" i="1" s="1"/>
  <c r="CU278" i="1"/>
  <c r="CS278" i="1"/>
  <c r="CQ278" i="1"/>
  <c r="CO278" i="1"/>
  <c r="CM278" i="1"/>
  <c r="CI278" i="1"/>
  <c r="CG278" i="1"/>
  <c r="CE278" i="1"/>
  <c r="CC278" i="1"/>
  <c r="CA278" i="1"/>
  <c r="BY278" i="1"/>
  <c r="BW278" i="1"/>
  <c r="BU278" i="1"/>
  <c r="BS278" i="1"/>
  <c r="BQ278" i="1"/>
  <c r="BO278" i="1"/>
  <c r="BM278" i="1"/>
  <c r="BK278" i="1"/>
  <c r="BI278" i="1"/>
  <c r="BG278" i="1"/>
  <c r="BE278" i="1"/>
  <c r="BC278" i="1"/>
  <c r="BA278" i="1"/>
  <c r="AY278" i="1"/>
  <c r="AW278" i="1"/>
  <c r="AU278" i="1"/>
  <c r="AS278" i="1"/>
  <c r="AS277" i="1" s="1"/>
  <c r="AQ278" i="1"/>
  <c r="AO278" i="1"/>
  <c r="AI278" i="1"/>
  <c r="AE278" i="1"/>
  <c r="AC278" i="1"/>
  <c r="AB278" i="1"/>
  <c r="W278" i="1"/>
  <c r="T278" i="1"/>
  <c r="T277" i="1" s="1"/>
  <c r="S278" i="1"/>
  <c r="Q278" i="1"/>
  <c r="DQ277" i="1"/>
  <c r="DP277" i="1"/>
  <c r="DK277" i="1"/>
  <c r="DJ277" i="1"/>
  <c r="DF277" i="1"/>
  <c r="DD277" i="1"/>
  <c r="DB277" i="1"/>
  <c r="CZ277" i="1"/>
  <c r="CX277" i="1"/>
  <c r="CV277" i="1"/>
  <c r="CU277" i="1"/>
  <c r="CT277" i="1"/>
  <c r="CR277" i="1"/>
  <c r="CP277" i="1"/>
  <c r="CN277" i="1"/>
  <c r="CL277" i="1"/>
  <c r="CK277" i="1"/>
  <c r="CJ277" i="1"/>
  <c r="CH277" i="1"/>
  <c r="CF277" i="1"/>
  <c r="CD277" i="1"/>
  <c r="CC277" i="1"/>
  <c r="CB277" i="1"/>
  <c r="BZ277" i="1"/>
  <c r="BX277" i="1"/>
  <c r="BV277" i="1"/>
  <c r="BT277" i="1"/>
  <c r="BR277" i="1"/>
  <c r="BQ277" i="1"/>
  <c r="BP277" i="1"/>
  <c r="BN277" i="1"/>
  <c r="BL277" i="1"/>
  <c r="BJ277" i="1"/>
  <c r="BH277" i="1"/>
  <c r="BF277" i="1"/>
  <c r="BE277" i="1"/>
  <c r="BD277" i="1"/>
  <c r="BB277" i="1"/>
  <c r="AZ277" i="1"/>
  <c r="AX277" i="1"/>
  <c r="AV277" i="1"/>
  <c r="AT277" i="1"/>
  <c r="AR277" i="1"/>
  <c r="AP277" i="1"/>
  <c r="AN277" i="1"/>
  <c r="AM277" i="1"/>
  <c r="AL277" i="1"/>
  <c r="AK277" i="1"/>
  <c r="AJ277" i="1"/>
  <c r="AH277" i="1"/>
  <c r="AG277" i="1"/>
  <c r="AF277" i="1"/>
  <c r="AD277" i="1"/>
  <c r="V277" i="1"/>
  <c r="R277" i="1"/>
  <c r="P277" i="1"/>
  <c r="DO276" i="1"/>
  <c r="DN276" i="1"/>
  <c r="DM276" i="1"/>
  <c r="DK276" i="1"/>
  <c r="DI276" i="1"/>
  <c r="DG276" i="1"/>
  <c r="DE276" i="1"/>
  <c r="DC276" i="1"/>
  <c r="CY276" i="1"/>
  <c r="CU276" i="1"/>
  <c r="CS276" i="1"/>
  <c r="CQ276" i="1"/>
  <c r="CO276" i="1"/>
  <c r="CM276" i="1"/>
  <c r="CI276" i="1"/>
  <c r="CI270" i="1" s="1"/>
  <c r="CG276" i="1"/>
  <c r="CE276" i="1"/>
  <c r="CC276" i="1"/>
  <c r="CA276" i="1"/>
  <c r="BY276" i="1"/>
  <c r="BW276" i="1"/>
  <c r="BU276" i="1"/>
  <c r="BS276" i="1"/>
  <c r="BQ276" i="1"/>
  <c r="BO276" i="1"/>
  <c r="BM276" i="1"/>
  <c r="BK276" i="1"/>
  <c r="BI276" i="1"/>
  <c r="BG276" i="1"/>
  <c r="BE276" i="1"/>
  <c r="BC276" i="1"/>
  <c r="BA276" i="1"/>
  <c r="AY276" i="1"/>
  <c r="AW276" i="1"/>
  <c r="AU276" i="1"/>
  <c r="AS276" i="1"/>
  <c r="AQ276" i="1"/>
  <c r="AO276" i="1"/>
  <c r="AI276" i="1"/>
  <c r="AE276" i="1"/>
  <c r="AC276" i="1"/>
  <c r="AB276" i="1"/>
  <c r="DR276" i="1" s="1"/>
  <c r="DV276" i="1" s="1"/>
  <c r="W276" i="1"/>
  <c r="U276" i="1"/>
  <c r="S276" i="1"/>
  <c r="Q276" i="1"/>
  <c r="DN275" i="1"/>
  <c r="DL275" i="1"/>
  <c r="DM275" i="1" s="1"/>
  <c r="DK275" i="1"/>
  <c r="DI275" i="1"/>
  <c r="DH275" i="1"/>
  <c r="DG275" i="1"/>
  <c r="DE275" i="1"/>
  <c r="DC275" i="1"/>
  <c r="CY275" i="1"/>
  <c r="CU275" i="1"/>
  <c r="CS275" i="1"/>
  <c r="CQ275" i="1"/>
  <c r="CO275" i="1"/>
  <c r="CM275" i="1"/>
  <c r="CI275" i="1"/>
  <c r="CG275" i="1"/>
  <c r="CE275" i="1"/>
  <c r="CC275" i="1"/>
  <c r="CA275" i="1"/>
  <c r="BY275" i="1"/>
  <c r="BW275" i="1"/>
  <c r="BU275" i="1"/>
  <c r="BS275" i="1"/>
  <c r="BQ275" i="1"/>
  <c r="BO275" i="1"/>
  <c r="BM275" i="1"/>
  <c r="BK275" i="1"/>
  <c r="BI275" i="1"/>
  <c r="BG275" i="1"/>
  <c r="BE275" i="1"/>
  <c r="BC275" i="1"/>
  <c r="BA275" i="1"/>
  <c r="AY275" i="1"/>
  <c r="AW275" i="1"/>
  <c r="AU275" i="1"/>
  <c r="AS275" i="1"/>
  <c r="AQ275" i="1"/>
  <c r="AO275" i="1"/>
  <c r="AI275" i="1"/>
  <c r="AE275" i="1"/>
  <c r="AC275" i="1"/>
  <c r="AB275" i="1"/>
  <c r="W275" i="1"/>
  <c r="U275" i="1"/>
  <c r="S275" i="1"/>
  <c r="Q275" i="1"/>
  <c r="DN274" i="1"/>
  <c r="DO274" i="1" s="1"/>
  <c r="DL274" i="1"/>
  <c r="DK274" i="1"/>
  <c r="DH274" i="1"/>
  <c r="DG274" i="1"/>
  <c r="DE274" i="1"/>
  <c r="DC274" i="1"/>
  <c r="CY274" i="1"/>
  <c r="CU274" i="1"/>
  <c r="CS274" i="1"/>
  <c r="CQ274" i="1"/>
  <c r="CO274" i="1"/>
  <c r="CM274" i="1"/>
  <c r="CI274" i="1"/>
  <c r="CG274" i="1"/>
  <c r="CE274" i="1"/>
  <c r="CC274" i="1"/>
  <c r="CA274" i="1"/>
  <c r="BY274" i="1"/>
  <c r="BW274" i="1"/>
  <c r="BU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I274" i="1"/>
  <c r="AE274" i="1"/>
  <c r="AC274" i="1"/>
  <c r="AB274" i="1"/>
  <c r="AB270" i="1" s="1"/>
  <c r="W274" i="1"/>
  <c r="T274" i="1"/>
  <c r="U274" i="1" s="1"/>
  <c r="S274" i="1"/>
  <c r="Q274" i="1"/>
  <c r="DR273" i="1"/>
  <c r="DV273" i="1" s="1"/>
  <c r="DO273" i="1"/>
  <c r="DM273" i="1"/>
  <c r="DK273" i="1"/>
  <c r="DI273" i="1"/>
  <c r="DG273" i="1"/>
  <c r="DE273" i="1"/>
  <c r="DC273" i="1"/>
  <c r="CY273" i="1"/>
  <c r="CU273" i="1"/>
  <c r="CS273" i="1"/>
  <c r="CQ273" i="1"/>
  <c r="CO273" i="1"/>
  <c r="CO270" i="1" s="1"/>
  <c r="CM273" i="1"/>
  <c r="CI273" i="1"/>
  <c r="CG273" i="1"/>
  <c r="CE273" i="1"/>
  <c r="CC273" i="1"/>
  <c r="CA273" i="1"/>
  <c r="CA270" i="1" s="1"/>
  <c r="BY273" i="1"/>
  <c r="BW273" i="1"/>
  <c r="BU273" i="1"/>
  <c r="BS273" i="1"/>
  <c r="BQ273" i="1"/>
  <c r="BO273" i="1"/>
  <c r="BM273" i="1"/>
  <c r="BK273" i="1"/>
  <c r="BI273" i="1"/>
  <c r="BG273" i="1"/>
  <c r="BE273" i="1"/>
  <c r="BC273" i="1"/>
  <c r="BA273" i="1"/>
  <c r="AY273" i="1"/>
  <c r="AU273" i="1"/>
  <c r="AS273" i="1"/>
  <c r="AQ273" i="1"/>
  <c r="AO273" i="1"/>
  <c r="AI273" i="1"/>
  <c r="AE273" i="1"/>
  <c r="AC273" i="1"/>
  <c r="AB273" i="1"/>
  <c r="W273" i="1"/>
  <c r="U273" i="1"/>
  <c r="S273" i="1"/>
  <c r="Q273" i="1"/>
  <c r="DR272" i="1"/>
  <c r="DV272" i="1" s="1"/>
  <c r="DO272" i="1"/>
  <c r="DM272" i="1"/>
  <c r="DK272" i="1"/>
  <c r="DI272" i="1"/>
  <c r="DG272" i="1"/>
  <c r="DE272" i="1"/>
  <c r="DC272" i="1"/>
  <c r="CY272" i="1"/>
  <c r="CU272" i="1"/>
  <c r="CS272" i="1"/>
  <c r="CQ272" i="1"/>
  <c r="CO272" i="1"/>
  <c r="CM272" i="1"/>
  <c r="CI272" i="1"/>
  <c r="CG272" i="1"/>
  <c r="CE272" i="1"/>
  <c r="CC272" i="1"/>
  <c r="CA272" i="1"/>
  <c r="BY272" i="1"/>
  <c r="BW272" i="1"/>
  <c r="BU272" i="1"/>
  <c r="BS272" i="1"/>
  <c r="BQ272" i="1"/>
  <c r="BO272" i="1"/>
  <c r="BM272" i="1"/>
  <c r="BK272" i="1"/>
  <c r="BI272" i="1"/>
  <c r="BG272" i="1"/>
  <c r="BE272" i="1"/>
  <c r="BC272" i="1"/>
  <c r="BA272" i="1"/>
  <c r="AY272" i="1"/>
  <c r="AW272" i="1"/>
  <c r="AU272" i="1"/>
  <c r="AS272" i="1"/>
  <c r="AQ272" i="1"/>
  <c r="AQ270" i="1" s="1"/>
  <c r="AO272" i="1"/>
  <c r="AI272" i="1"/>
  <c r="AE272" i="1"/>
  <c r="AC272" i="1"/>
  <c r="AB272" i="1"/>
  <c r="W272" i="1"/>
  <c r="U272" i="1"/>
  <c r="U270" i="1" s="1"/>
  <c r="S272" i="1"/>
  <c r="Q272" i="1"/>
  <c r="Q270" i="1" s="1"/>
  <c r="DO271" i="1"/>
  <c r="DL271" i="1"/>
  <c r="DM271" i="1" s="1"/>
  <c r="DK271" i="1"/>
  <c r="DI271" i="1"/>
  <c r="DG271" i="1"/>
  <c r="DE271" i="1"/>
  <c r="DC271" i="1"/>
  <c r="CX271" i="1"/>
  <c r="CU271" i="1"/>
  <c r="CS271" i="1"/>
  <c r="CQ271" i="1"/>
  <c r="CO271" i="1"/>
  <c r="CM271" i="1"/>
  <c r="CI271" i="1"/>
  <c r="CG271" i="1"/>
  <c r="CE271" i="1"/>
  <c r="CC271" i="1"/>
  <c r="CA271" i="1"/>
  <c r="BY271" i="1"/>
  <c r="BW271" i="1"/>
  <c r="BW270" i="1" s="1"/>
  <c r="BU271" i="1"/>
  <c r="BS271" i="1"/>
  <c r="BQ271" i="1"/>
  <c r="BO271" i="1"/>
  <c r="BM271" i="1"/>
  <c r="BK271" i="1"/>
  <c r="BI271" i="1"/>
  <c r="BG271" i="1"/>
  <c r="BE271" i="1"/>
  <c r="BC271" i="1"/>
  <c r="BA271" i="1"/>
  <c r="AY271" i="1"/>
  <c r="AY270" i="1" s="1"/>
  <c r="AW271" i="1"/>
  <c r="AU271" i="1"/>
  <c r="AS271" i="1"/>
  <c r="AQ271" i="1"/>
  <c r="AI271" i="1"/>
  <c r="AE271" i="1"/>
  <c r="AC271" i="1"/>
  <c r="AC270" i="1" s="1"/>
  <c r="AB271" i="1"/>
  <c r="W271" i="1"/>
  <c r="U271" i="1"/>
  <c r="S271" i="1"/>
  <c r="Q271" i="1"/>
  <c r="DQ270" i="1"/>
  <c r="DP270" i="1"/>
  <c r="DJ270" i="1"/>
  <c r="DF270" i="1"/>
  <c r="DD270" i="1"/>
  <c r="DB270" i="1"/>
  <c r="CZ270" i="1"/>
  <c r="CV270" i="1"/>
  <c r="CT270" i="1"/>
  <c r="CR270" i="1"/>
  <c r="CP270" i="1"/>
  <c r="CN270" i="1"/>
  <c r="CL270" i="1"/>
  <c r="CK270" i="1"/>
  <c r="CJ270" i="1"/>
  <c r="CH270" i="1"/>
  <c r="CF270" i="1"/>
  <c r="CD270" i="1"/>
  <c r="CB270" i="1"/>
  <c r="BZ270" i="1"/>
  <c r="BX270" i="1"/>
  <c r="BV270" i="1"/>
  <c r="BT270" i="1"/>
  <c r="BR270" i="1"/>
  <c r="BP270" i="1"/>
  <c r="BN270" i="1"/>
  <c r="BL270" i="1"/>
  <c r="BJ270" i="1"/>
  <c r="BH270" i="1"/>
  <c r="BF270" i="1"/>
  <c r="BD270" i="1"/>
  <c r="BB270" i="1"/>
  <c r="AZ270" i="1"/>
  <c r="AX270" i="1"/>
  <c r="AV270" i="1"/>
  <c r="AT270" i="1"/>
  <c r="AR270" i="1"/>
  <c r="AP270" i="1"/>
  <c r="AN270" i="1"/>
  <c r="AM270" i="1"/>
  <c r="AL270" i="1"/>
  <c r="AK270" i="1"/>
  <c r="AJ270" i="1"/>
  <c r="AH270" i="1"/>
  <c r="AG270" i="1"/>
  <c r="AF270" i="1"/>
  <c r="AD270" i="1"/>
  <c r="V270" i="1"/>
  <c r="R270" i="1"/>
  <c r="P270" i="1"/>
  <c r="DR269" i="1"/>
  <c r="DV269" i="1" s="1"/>
  <c r="DO269" i="1"/>
  <c r="DM269" i="1"/>
  <c r="DK269" i="1"/>
  <c r="DI269" i="1"/>
  <c r="DG269" i="1"/>
  <c r="DE269" i="1"/>
  <c r="DC269" i="1"/>
  <c r="CY269" i="1"/>
  <c r="CU269" i="1"/>
  <c r="CS269" i="1"/>
  <c r="CQ269" i="1"/>
  <c r="CO269" i="1"/>
  <c r="CO265" i="1" s="1"/>
  <c r="CM269" i="1"/>
  <c r="CI269" i="1"/>
  <c r="CG269" i="1"/>
  <c r="CE269" i="1"/>
  <c r="CC269" i="1"/>
  <c r="CA269" i="1"/>
  <c r="BY269" i="1"/>
  <c r="BW269" i="1"/>
  <c r="BU269" i="1"/>
  <c r="BS269" i="1"/>
  <c r="BQ269" i="1"/>
  <c r="BO269" i="1"/>
  <c r="BM269" i="1"/>
  <c r="BK269" i="1"/>
  <c r="BI269" i="1"/>
  <c r="BG269" i="1"/>
  <c r="BE269" i="1"/>
  <c r="BC269" i="1"/>
  <c r="BA269" i="1"/>
  <c r="AY269" i="1"/>
  <c r="AW269" i="1"/>
  <c r="AU269" i="1"/>
  <c r="AS269" i="1"/>
  <c r="AQ269" i="1"/>
  <c r="AO269" i="1"/>
  <c r="AI269" i="1"/>
  <c r="AE269" i="1"/>
  <c r="AC269" i="1"/>
  <c r="AB269" i="1"/>
  <c r="W269" i="1"/>
  <c r="W265" i="1" s="1"/>
  <c r="U269" i="1"/>
  <c r="S269" i="1"/>
  <c r="Q269" i="1"/>
  <c r="DN268" i="1"/>
  <c r="DO268" i="1" s="1"/>
  <c r="DM268" i="1"/>
  <c r="DK268" i="1"/>
  <c r="DH268" i="1"/>
  <c r="DI268" i="1" s="1"/>
  <c r="DG268" i="1"/>
  <c r="DE268" i="1"/>
  <c r="DC268" i="1"/>
  <c r="CY268" i="1"/>
  <c r="CU268" i="1"/>
  <c r="CU265" i="1" s="1"/>
  <c r="CS268" i="1"/>
  <c r="CQ268" i="1"/>
  <c r="CO268" i="1"/>
  <c r="CM268" i="1"/>
  <c r="CI268" i="1"/>
  <c r="CG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I265" i="1" s="1"/>
  <c r="BG268" i="1"/>
  <c r="BE268" i="1"/>
  <c r="BC268" i="1"/>
  <c r="BA268" i="1"/>
  <c r="AY268" i="1"/>
  <c r="AW268" i="1"/>
  <c r="AW265" i="1" s="1"/>
  <c r="AU268" i="1"/>
  <c r="AS268" i="1"/>
  <c r="AQ268" i="1"/>
  <c r="AO268" i="1"/>
  <c r="AI268" i="1"/>
  <c r="AE268" i="1"/>
  <c r="AE265" i="1" s="1"/>
  <c r="AC268" i="1"/>
  <c r="AB268" i="1"/>
  <c r="W268" i="1"/>
  <c r="U268" i="1"/>
  <c r="T268" i="1"/>
  <c r="S268" i="1"/>
  <c r="Q268" i="1"/>
  <c r="DN267" i="1"/>
  <c r="DN265" i="1" s="1"/>
  <c r="DL267" i="1"/>
  <c r="DL265" i="1" s="1"/>
  <c r="DK267" i="1"/>
  <c r="DH267" i="1"/>
  <c r="DI267" i="1" s="1"/>
  <c r="DG267" i="1"/>
  <c r="DE267" i="1"/>
  <c r="DC267" i="1"/>
  <c r="CY267" i="1"/>
  <c r="CU267" i="1"/>
  <c r="CS267" i="1"/>
  <c r="CQ267" i="1"/>
  <c r="CO267" i="1"/>
  <c r="CM267" i="1"/>
  <c r="CI267" i="1"/>
  <c r="CG267" i="1"/>
  <c r="CE267" i="1"/>
  <c r="CC267" i="1"/>
  <c r="CA267" i="1"/>
  <c r="BY267" i="1"/>
  <c r="BW267" i="1"/>
  <c r="BU267" i="1"/>
  <c r="BS267" i="1"/>
  <c r="BQ267" i="1"/>
  <c r="BO267" i="1"/>
  <c r="BM267" i="1"/>
  <c r="BK267" i="1"/>
  <c r="BI267" i="1"/>
  <c r="BG267" i="1"/>
  <c r="BE267" i="1"/>
  <c r="BC267" i="1"/>
  <c r="BA267" i="1"/>
  <c r="AY267" i="1"/>
  <c r="AW267" i="1"/>
  <c r="AU267" i="1"/>
  <c r="AS267" i="1"/>
  <c r="AQ267" i="1"/>
  <c r="AO267" i="1"/>
  <c r="AI267" i="1"/>
  <c r="AI265" i="1" s="1"/>
  <c r="AE267" i="1"/>
  <c r="AC267" i="1"/>
  <c r="AB267" i="1"/>
  <c r="W267" i="1"/>
  <c r="U267" i="1"/>
  <c r="S267" i="1"/>
  <c r="Q267" i="1"/>
  <c r="DO266" i="1"/>
  <c r="DM266" i="1"/>
  <c r="DK266" i="1"/>
  <c r="DI266" i="1"/>
  <c r="DG266" i="1"/>
  <c r="DE266" i="1"/>
  <c r="DC266" i="1"/>
  <c r="CY266" i="1"/>
  <c r="CU266" i="1"/>
  <c r="CS266" i="1"/>
  <c r="CQ266" i="1"/>
  <c r="CO266" i="1"/>
  <c r="CM266" i="1"/>
  <c r="CI266" i="1"/>
  <c r="CI265" i="1" s="1"/>
  <c r="CG266" i="1"/>
  <c r="CE266" i="1"/>
  <c r="CC266" i="1"/>
  <c r="CA266" i="1"/>
  <c r="BY266" i="1"/>
  <c r="BW266" i="1"/>
  <c r="BW265" i="1" s="1"/>
  <c r="BU266" i="1"/>
  <c r="BS266" i="1"/>
  <c r="BQ266" i="1"/>
  <c r="BO266" i="1"/>
  <c r="BM266" i="1"/>
  <c r="BK266" i="1"/>
  <c r="BI266" i="1"/>
  <c r="BG266" i="1"/>
  <c r="BE266" i="1"/>
  <c r="BC266" i="1"/>
  <c r="BA266" i="1"/>
  <c r="AY266" i="1"/>
  <c r="AW266" i="1"/>
  <c r="AU266" i="1"/>
  <c r="AS266" i="1"/>
  <c r="AQ266" i="1"/>
  <c r="AO266" i="1"/>
  <c r="AI266" i="1"/>
  <c r="AE266" i="1"/>
  <c r="AC266" i="1"/>
  <c r="AB266" i="1"/>
  <c r="DR266" i="1" s="1"/>
  <c r="DV266" i="1" s="1"/>
  <c r="W266" i="1"/>
  <c r="U266" i="1"/>
  <c r="S266" i="1"/>
  <c r="Q266" i="1"/>
  <c r="DQ265" i="1"/>
  <c r="DP265" i="1"/>
  <c r="DJ265" i="1"/>
  <c r="DF265" i="1"/>
  <c r="DD265" i="1"/>
  <c r="DB265" i="1"/>
  <c r="CZ265" i="1"/>
  <c r="CX265" i="1"/>
  <c r="CV265" i="1"/>
  <c r="CT265" i="1"/>
  <c r="CR265" i="1"/>
  <c r="CP265" i="1"/>
  <c r="CN265" i="1"/>
  <c r="CL265" i="1"/>
  <c r="CK265" i="1"/>
  <c r="CJ265" i="1"/>
  <c r="CH265" i="1"/>
  <c r="CF265" i="1"/>
  <c r="CD265" i="1"/>
  <c r="CB265" i="1"/>
  <c r="BZ265" i="1"/>
  <c r="BX265" i="1"/>
  <c r="BV265" i="1"/>
  <c r="BT265" i="1"/>
  <c r="BR265" i="1"/>
  <c r="BP265" i="1"/>
  <c r="BN265" i="1"/>
  <c r="BL265" i="1"/>
  <c r="BK265" i="1"/>
  <c r="BJ265" i="1"/>
  <c r="BH265" i="1"/>
  <c r="BF265" i="1"/>
  <c r="BD265" i="1"/>
  <c r="BB265" i="1"/>
  <c r="AZ265" i="1"/>
  <c r="AY265" i="1"/>
  <c r="AX265" i="1"/>
  <c r="AV265" i="1"/>
  <c r="AT265" i="1"/>
  <c r="AR265" i="1"/>
  <c r="AP265" i="1"/>
  <c r="AN265" i="1"/>
  <c r="AM265" i="1"/>
  <c r="AL265" i="1"/>
  <c r="AK265" i="1"/>
  <c r="AJ265" i="1"/>
  <c r="AH265" i="1"/>
  <c r="AG265" i="1"/>
  <c r="AF265" i="1"/>
  <c r="AD265" i="1"/>
  <c r="V265" i="1"/>
  <c r="T265" i="1"/>
  <c r="R265" i="1"/>
  <c r="P265" i="1"/>
  <c r="AY264" i="1"/>
  <c r="AW264" i="1"/>
  <c r="AU264" i="1"/>
  <c r="AS264" i="1"/>
  <c r="AQ264" i="1"/>
  <c r="AO264" i="1"/>
  <c r="AI264" i="1"/>
  <c r="AG264" i="1"/>
  <c r="AE264" i="1"/>
  <c r="AC264" i="1"/>
  <c r="AB264" i="1"/>
  <c r="DR264" i="1" s="1"/>
  <c r="DV264" i="1" s="1"/>
  <c r="W264" i="1"/>
  <c r="Q264" i="1"/>
  <c r="DN263" i="1"/>
  <c r="DN255" i="1" s="1"/>
  <c r="DM263" i="1"/>
  <c r="DK263" i="1"/>
  <c r="DI263" i="1"/>
  <c r="DG263" i="1"/>
  <c r="DE263" i="1"/>
  <c r="DC263" i="1"/>
  <c r="CY263" i="1"/>
  <c r="CU263" i="1"/>
  <c r="CS263" i="1"/>
  <c r="CQ263" i="1"/>
  <c r="CO263" i="1"/>
  <c r="CM263" i="1"/>
  <c r="CI263" i="1"/>
  <c r="CG263" i="1"/>
  <c r="CE263" i="1"/>
  <c r="CC263" i="1"/>
  <c r="CA263" i="1"/>
  <c r="BY263" i="1"/>
  <c r="BW263" i="1"/>
  <c r="BU263" i="1"/>
  <c r="BS263" i="1"/>
  <c r="BQ263" i="1"/>
  <c r="BO263" i="1"/>
  <c r="BM263" i="1"/>
  <c r="BK263" i="1"/>
  <c r="BI263" i="1"/>
  <c r="BG263" i="1"/>
  <c r="BE263" i="1"/>
  <c r="BC263" i="1"/>
  <c r="BA263" i="1"/>
  <c r="AY263" i="1"/>
  <c r="AW263" i="1"/>
  <c r="AU263" i="1"/>
  <c r="AS263" i="1"/>
  <c r="AQ263" i="1"/>
  <c r="AO263" i="1"/>
  <c r="AI263" i="1"/>
  <c r="AG263" i="1"/>
  <c r="AE263" i="1"/>
  <c r="AC263" i="1"/>
  <c r="AB263" i="1"/>
  <c r="DR263" i="1" s="1"/>
  <c r="DV263" i="1" s="1"/>
  <c r="W263" i="1"/>
  <c r="U263" i="1"/>
  <c r="S263" i="1"/>
  <c r="Q263" i="1"/>
  <c r="DO262" i="1"/>
  <c r="DM262" i="1"/>
  <c r="DL262" i="1"/>
  <c r="DK262" i="1"/>
  <c r="DI262" i="1"/>
  <c r="DG262" i="1"/>
  <c r="DE262" i="1"/>
  <c r="DC262" i="1"/>
  <c r="CY262" i="1"/>
  <c r="CU262" i="1"/>
  <c r="CS262" i="1"/>
  <c r="CQ262" i="1"/>
  <c r="CO262" i="1"/>
  <c r="CM262" i="1"/>
  <c r="CI262" i="1"/>
  <c r="CG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S262" i="1"/>
  <c r="AQ262" i="1"/>
  <c r="AO262" i="1"/>
  <c r="AI262" i="1"/>
  <c r="AG262" i="1"/>
  <c r="AE262" i="1"/>
  <c r="AC262" i="1"/>
  <c r="AB262" i="1"/>
  <c r="DR262" i="1" s="1"/>
  <c r="DV262" i="1" s="1"/>
  <c r="W262" i="1"/>
  <c r="U262" i="1"/>
  <c r="S262" i="1"/>
  <c r="Q262" i="1"/>
  <c r="DO261" i="1"/>
  <c r="DM261" i="1"/>
  <c r="DK261" i="1"/>
  <c r="DI261" i="1"/>
  <c r="DE261" i="1"/>
  <c r="DC261" i="1"/>
  <c r="CY261" i="1"/>
  <c r="CU261" i="1"/>
  <c r="CS261" i="1"/>
  <c r="CQ261" i="1"/>
  <c r="CO261" i="1"/>
  <c r="CM261" i="1"/>
  <c r="CI261" i="1"/>
  <c r="CG261" i="1"/>
  <c r="CE261" i="1"/>
  <c r="CC261" i="1"/>
  <c r="CA261" i="1"/>
  <c r="BY261" i="1"/>
  <c r="BW261" i="1"/>
  <c r="BU261" i="1"/>
  <c r="BS261" i="1"/>
  <c r="BQ261" i="1"/>
  <c r="BO261" i="1"/>
  <c r="BM261" i="1"/>
  <c r="BI261" i="1"/>
  <c r="BG261" i="1"/>
  <c r="BE261" i="1"/>
  <c r="BC261" i="1"/>
  <c r="BA261" i="1"/>
  <c r="AY261" i="1"/>
  <c r="AW261" i="1"/>
  <c r="AU261" i="1"/>
  <c r="AS261" i="1"/>
  <c r="AQ261" i="1"/>
  <c r="AO261" i="1"/>
  <c r="AI261" i="1"/>
  <c r="AG261" i="1"/>
  <c r="AE261" i="1"/>
  <c r="AC261" i="1"/>
  <c r="AB261" i="1"/>
  <c r="DR261" i="1" s="1"/>
  <c r="DV261" i="1" s="1"/>
  <c r="W261" i="1"/>
  <c r="U261" i="1"/>
  <c r="S261" i="1"/>
  <c r="Q261" i="1"/>
  <c r="DO260" i="1"/>
  <c r="DM260" i="1"/>
  <c r="DK260" i="1"/>
  <c r="DI260" i="1"/>
  <c r="DG260" i="1"/>
  <c r="DE260" i="1"/>
  <c r="DC260" i="1"/>
  <c r="CY260" i="1"/>
  <c r="CU260" i="1"/>
  <c r="CS260" i="1"/>
  <c r="CQ260" i="1"/>
  <c r="CO260" i="1"/>
  <c r="CM260" i="1"/>
  <c r="CI260" i="1"/>
  <c r="CG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G260" i="1"/>
  <c r="BE260" i="1"/>
  <c r="BC260" i="1"/>
  <c r="BA260" i="1"/>
  <c r="AY260" i="1"/>
  <c r="AW260" i="1"/>
  <c r="AU260" i="1"/>
  <c r="AS260" i="1"/>
  <c r="AP260" i="1"/>
  <c r="AQ260" i="1" s="1"/>
  <c r="AO260" i="1"/>
  <c r="AI260" i="1"/>
  <c r="AG260" i="1"/>
  <c r="AE260" i="1"/>
  <c r="AC260" i="1"/>
  <c r="AB260" i="1"/>
  <c r="DR260" i="1" s="1"/>
  <c r="DV260" i="1" s="1"/>
  <c r="W260" i="1"/>
  <c r="U260" i="1"/>
  <c r="S260" i="1"/>
  <c r="Q260" i="1"/>
  <c r="DO259" i="1"/>
  <c r="DM259" i="1"/>
  <c r="DK259" i="1"/>
  <c r="DI259" i="1"/>
  <c r="DE259" i="1"/>
  <c r="DC259" i="1"/>
  <c r="CY259" i="1"/>
  <c r="CU259" i="1"/>
  <c r="CS259" i="1"/>
  <c r="CQ259" i="1"/>
  <c r="CO259" i="1"/>
  <c r="CM259" i="1"/>
  <c r="CI259" i="1"/>
  <c r="CG259" i="1"/>
  <c r="CE259" i="1"/>
  <c r="CC259" i="1"/>
  <c r="CA259" i="1"/>
  <c r="BY259" i="1"/>
  <c r="BW259" i="1"/>
  <c r="BU259" i="1"/>
  <c r="BS259" i="1"/>
  <c r="BQ259" i="1"/>
  <c r="BO259" i="1"/>
  <c r="BM259" i="1"/>
  <c r="BI259" i="1"/>
  <c r="BG259" i="1"/>
  <c r="BE259" i="1"/>
  <c r="BC259" i="1"/>
  <c r="BA259" i="1"/>
  <c r="AY259" i="1"/>
  <c r="AW259" i="1"/>
  <c r="AU259" i="1"/>
  <c r="AS259" i="1"/>
  <c r="AQ259" i="1"/>
  <c r="AO259" i="1"/>
  <c r="AI259" i="1"/>
  <c r="AG259" i="1"/>
  <c r="AE259" i="1"/>
  <c r="AC259" i="1"/>
  <c r="AB259" i="1"/>
  <c r="DR259" i="1" s="1"/>
  <c r="DV259" i="1" s="1"/>
  <c r="W259" i="1"/>
  <c r="U259" i="1"/>
  <c r="S259" i="1"/>
  <c r="Q259" i="1"/>
  <c r="DO258" i="1"/>
  <c r="DM258" i="1"/>
  <c r="DK258" i="1"/>
  <c r="DI258" i="1"/>
  <c r="DG258" i="1"/>
  <c r="DE258" i="1"/>
  <c r="DC258" i="1"/>
  <c r="CY258" i="1"/>
  <c r="CU258" i="1"/>
  <c r="CS258" i="1"/>
  <c r="CQ258" i="1"/>
  <c r="CO258" i="1"/>
  <c r="CM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K255" i="1" s="1"/>
  <c r="BI258" i="1"/>
  <c r="BG258" i="1"/>
  <c r="BE258" i="1"/>
  <c r="BC258" i="1"/>
  <c r="BA258" i="1"/>
  <c r="AY258" i="1"/>
  <c r="AW258" i="1"/>
  <c r="AU258" i="1"/>
  <c r="AS258" i="1"/>
  <c r="AQ258" i="1"/>
  <c r="AO258" i="1"/>
  <c r="AI258" i="1"/>
  <c r="AG258" i="1"/>
  <c r="AE258" i="1"/>
  <c r="AC258" i="1"/>
  <c r="AB258" i="1"/>
  <c r="DR258" i="1" s="1"/>
  <c r="DV258" i="1" s="1"/>
  <c r="W258" i="1"/>
  <c r="U258" i="1"/>
  <c r="S258" i="1"/>
  <c r="Q258" i="1"/>
  <c r="DO257" i="1"/>
  <c r="DM257" i="1"/>
  <c r="DK257" i="1"/>
  <c r="DI257" i="1"/>
  <c r="DG257" i="1"/>
  <c r="DE257" i="1"/>
  <c r="DC257" i="1"/>
  <c r="CY257" i="1"/>
  <c r="CU257" i="1"/>
  <c r="CS257" i="1"/>
  <c r="CQ257" i="1"/>
  <c r="CO257" i="1"/>
  <c r="CM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I257" i="1"/>
  <c r="AG257" i="1"/>
  <c r="AE257" i="1"/>
  <c r="AC257" i="1"/>
  <c r="AB257" i="1"/>
  <c r="DR257" i="1" s="1"/>
  <c r="DV257" i="1" s="1"/>
  <c r="W257" i="1"/>
  <c r="U257" i="1"/>
  <c r="S257" i="1"/>
  <c r="Q257" i="1"/>
  <c r="DO256" i="1"/>
  <c r="DM256" i="1"/>
  <c r="DK256" i="1"/>
  <c r="DI256" i="1"/>
  <c r="DG256" i="1"/>
  <c r="DE256" i="1"/>
  <c r="DC256" i="1"/>
  <c r="CY256" i="1"/>
  <c r="CU256" i="1"/>
  <c r="CS256" i="1"/>
  <c r="CQ256" i="1"/>
  <c r="CO256" i="1"/>
  <c r="CM256" i="1"/>
  <c r="CM255" i="1" s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P256" i="1"/>
  <c r="AO256" i="1"/>
  <c r="AI256" i="1"/>
  <c r="AG256" i="1"/>
  <c r="AE256" i="1"/>
  <c r="AC256" i="1"/>
  <c r="AB256" i="1"/>
  <c r="DR256" i="1" s="1"/>
  <c r="W256" i="1"/>
  <c r="U256" i="1"/>
  <c r="S256" i="1"/>
  <c r="Q256" i="1"/>
  <c r="DQ255" i="1"/>
  <c r="DP255" i="1"/>
  <c r="DL255" i="1"/>
  <c r="DJ255" i="1"/>
  <c r="DH255" i="1"/>
  <c r="DF255" i="1"/>
  <c r="DD255" i="1"/>
  <c r="DB255" i="1"/>
  <c r="CZ255" i="1"/>
  <c r="CX255" i="1"/>
  <c r="CV255" i="1"/>
  <c r="CT255" i="1"/>
  <c r="CR255" i="1"/>
  <c r="CP255" i="1"/>
  <c r="CN255" i="1"/>
  <c r="CL255" i="1"/>
  <c r="CK255" i="1"/>
  <c r="CJ255" i="1"/>
  <c r="CH255" i="1"/>
  <c r="CF255" i="1"/>
  <c r="CD255" i="1"/>
  <c r="CB255" i="1"/>
  <c r="BZ255" i="1"/>
  <c r="BX255" i="1"/>
  <c r="BV255" i="1"/>
  <c r="BT255" i="1"/>
  <c r="BR255" i="1"/>
  <c r="BQ255" i="1"/>
  <c r="BP255" i="1"/>
  <c r="BN255" i="1"/>
  <c r="BL255" i="1"/>
  <c r="BJ255" i="1"/>
  <c r="BH255" i="1"/>
  <c r="BF255" i="1"/>
  <c r="BD255" i="1"/>
  <c r="BC255" i="1"/>
  <c r="BB255" i="1"/>
  <c r="AZ255" i="1"/>
  <c r="AY255" i="1"/>
  <c r="AX255" i="1"/>
  <c r="AV255" i="1"/>
  <c r="AT255" i="1"/>
  <c r="AR255" i="1"/>
  <c r="AN255" i="1"/>
  <c r="AM255" i="1"/>
  <c r="AL255" i="1"/>
  <c r="AK255" i="1"/>
  <c r="AJ255" i="1"/>
  <c r="AH255" i="1"/>
  <c r="AF255" i="1"/>
  <c r="AD255" i="1"/>
  <c r="V255" i="1"/>
  <c r="T255" i="1"/>
  <c r="R255" i="1"/>
  <c r="P255" i="1"/>
  <c r="AY254" i="1"/>
  <c r="AW254" i="1"/>
  <c r="AU254" i="1"/>
  <c r="AS254" i="1"/>
  <c r="AQ254" i="1"/>
  <c r="AO254" i="1"/>
  <c r="AI254" i="1"/>
  <c r="AE254" i="1"/>
  <c r="AC254" i="1"/>
  <c r="AB254" i="1"/>
  <c r="DR254" i="1" s="1"/>
  <c r="DV254" i="1" s="1"/>
  <c r="W254" i="1"/>
  <c r="Q254" i="1"/>
  <c r="DO253" i="1"/>
  <c r="DM253" i="1"/>
  <c r="DK253" i="1"/>
  <c r="DI253" i="1"/>
  <c r="DE253" i="1"/>
  <c r="DC253" i="1"/>
  <c r="CY253" i="1"/>
  <c r="CU253" i="1"/>
  <c r="CS253" i="1"/>
  <c r="CQ253" i="1"/>
  <c r="CO253" i="1"/>
  <c r="CM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I253" i="1"/>
  <c r="BG253" i="1"/>
  <c r="BE253" i="1"/>
  <c r="BC253" i="1"/>
  <c r="BA253" i="1"/>
  <c r="AY253" i="1"/>
  <c r="AW253" i="1"/>
  <c r="AU253" i="1"/>
  <c r="AS253" i="1"/>
  <c r="AQ253" i="1"/>
  <c r="AO253" i="1"/>
  <c r="AI253" i="1"/>
  <c r="AE253" i="1"/>
  <c r="AC253" i="1"/>
  <c r="AB253" i="1"/>
  <c r="DR253" i="1" s="1"/>
  <c r="DV253" i="1" s="1"/>
  <c r="W253" i="1"/>
  <c r="U253" i="1"/>
  <c r="S253" i="1"/>
  <c r="Q253" i="1"/>
  <c r="DO252" i="1"/>
  <c r="DM252" i="1"/>
  <c r="DK252" i="1"/>
  <c r="DI252" i="1"/>
  <c r="DE252" i="1"/>
  <c r="DC252" i="1"/>
  <c r="CY252" i="1"/>
  <c r="CU252" i="1"/>
  <c r="CS252" i="1"/>
  <c r="CQ252" i="1"/>
  <c r="CO252" i="1"/>
  <c r="CM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I252" i="1"/>
  <c r="BG252" i="1"/>
  <c r="BE252" i="1"/>
  <c r="BC252" i="1"/>
  <c r="BA252" i="1"/>
  <c r="AY252" i="1"/>
  <c r="AW252" i="1"/>
  <c r="AU252" i="1"/>
  <c r="AS252" i="1"/>
  <c r="AQ252" i="1"/>
  <c r="AI252" i="1"/>
  <c r="AE252" i="1"/>
  <c r="AC252" i="1"/>
  <c r="AB252" i="1"/>
  <c r="DR252" i="1" s="1"/>
  <c r="DV252" i="1" s="1"/>
  <c r="W252" i="1"/>
  <c r="U252" i="1"/>
  <c r="S252" i="1"/>
  <c r="Q252" i="1"/>
  <c r="DR251" i="1"/>
  <c r="DV251" i="1" s="1"/>
  <c r="DO251" i="1"/>
  <c r="DM251" i="1"/>
  <c r="DK251" i="1"/>
  <c r="DI251" i="1"/>
  <c r="DG251" i="1"/>
  <c r="DE251" i="1"/>
  <c r="DC251" i="1"/>
  <c r="CY251" i="1"/>
  <c r="CU251" i="1"/>
  <c r="CS251" i="1"/>
  <c r="CQ251" i="1"/>
  <c r="CO251" i="1"/>
  <c r="CM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I251" i="1"/>
  <c r="AE251" i="1"/>
  <c r="AC251" i="1"/>
  <c r="AB251" i="1"/>
  <c r="W251" i="1"/>
  <c r="U251" i="1"/>
  <c r="S251" i="1"/>
  <c r="Q251" i="1"/>
  <c r="DO250" i="1"/>
  <c r="DM250" i="1"/>
  <c r="DK250" i="1"/>
  <c r="DH250" i="1"/>
  <c r="DG250" i="1"/>
  <c r="DE250" i="1"/>
  <c r="DC250" i="1"/>
  <c r="CY250" i="1"/>
  <c r="CU250" i="1"/>
  <c r="CS250" i="1"/>
  <c r="CQ250" i="1"/>
  <c r="CO250" i="1"/>
  <c r="CM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U250" i="1"/>
  <c r="AS250" i="1"/>
  <c r="AQ250" i="1"/>
  <c r="AO250" i="1"/>
  <c r="AI250" i="1"/>
  <c r="AE250" i="1"/>
  <c r="AC250" i="1"/>
  <c r="AB250" i="1"/>
  <c r="DR250" i="1" s="1"/>
  <c r="DV250" i="1" s="1"/>
  <c r="W250" i="1"/>
  <c r="U250" i="1"/>
  <c r="S250" i="1"/>
  <c r="Q250" i="1"/>
  <c r="DO249" i="1"/>
  <c r="DN249" i="1"/>
  <c r="DM249" i="1"/>
  <c r="DK249" i="1"/>
  <c r="DI249" i="1"/>
  <c r="DG249" i="1"/>
  <c r="DE249" i="1"/>
  <c r="DC249" i="1"/>
  <c r="CY249" i="1"/>
  <c r="CU249" i="1"/>
  <c r="CS249" i="1"/>
  <c r="CQ249" i="1"/>
  <c r="CO249" i="1"/>
  <c r="CM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I249" i="1"/>
  <c r="AE249" i="1"/>
  <c r="AC249" i="1"/>
  <c r="AB249" i="1"/>
  <c r="DR249" i="1" s="1"/>
  <c r="DV249" i="1" s="1"/>
  <c r="W249" i="1"/>
  <c r="U249" i="1"/>
  <c r="S249" i="1"/>
  <c r="DS249" i="1" s="1"/>
  <c r="DW249" i="1" s="1"/>
  <c r="Q249" i="1"/>
  <c r="DN248" i="1"/>
  <c r="DO248" i="1" s="1"/>
  <c r="DM248" i="1"/>
  <c r="DK248" i="1"/>
  <c r="DI248" i="1"/>
  <c r="DG248" i="1"/>
  <c r="DE248" i="1"/>
  <c r="DC248" i="1"/>
  <c r="CY248" i="1"/>
  <c r="CU248" i="1"/>
  <c r="CS248" i="1"/>
  <c r="CQ248" i="1"/>
  <c r="CO248" i="1"/>
  <c r="CM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I248" i="1"/>
  <c r="AE248" i="1"/>
  <c r="AC248" i="1"/>
  <c r="AB248" i="1"/>
  <c r="DR248" i="1" s="1"/>
  <c r="DV248" i="1" s="1"/>
  <c r="W248" i="1"/>
  <c r="U248" i="1"/>
  <c r="S248" i="1"/>
  <c r="Q248" i="1"/>
  <c r="DN247" i="1"/>
  <c r="DO247" i="1" s="1"/>
  <c r="DL247" i="1"/>
  <c r="DK247" i="1"/>
  <c r="DI247" i="1"/>
  <c r="DG247" i="1"/>
  <c r="DG244" i="1" s="1"/>
  <c r="DE247" i="1"/>
  <c r="DC247" i="1"/>
  <c r="CY247" i="1"/>
  <c r="CU247" i="1"/>
  <c r="CS247" i="1"/>
  <c r="CQ247" i="1"/>
  <c r="CO247" i="1"/>
  <c r="CM247" i="1"/>
  <c r="CI247" i="1"/>
  <c r="CG247" i="1"/>
  <c r="CE247" i="1"/>
  <c r="CC247" i="1"/>
  <c r="CC244" i="1" s="1"/>
  <c r="CA247" i="1"/>
  <c r="BY247" i="1"/>
  <c r="BW247" i="1"/>
  <c r="BU247" i="1"/>
  <c r="BS247" i="1"/>
  <c r="BQ247" i="1"/>
  <c r="BQ244" i="1" s="1"/>
  <c r="BO247" i="1"/>
  <c r="BM247" i="1"/>
  <c r="BK247" i="1"/>
  <c r="BI247" i="1"/>
  <c r="BG247" i="1"/>
  <c r="BE247" i="1"/>
  <c r="BE244" i="1" s="1"/>
  <c r="BC247" i="1"/>
  <c r="BA247" i="1"/>
  <c r="AY247" i="1"/>
  <c r="AW247" i="1"/>
  <c r="AU247" i="1"/>
  <c r="AS247" i="1"/>
  <c r="AS244" i="1" s="1"/>
  <c r="AQ247" i="1"/>
  <c r="AO247" i="1"/>
  <c r="AI247" i="1"/>
  <c r="AE247" i="1"/>
  <c r="AC247" i="1"/>
  <c r="AB247" i="1"/>
  <c r="W247" i="1"/>
  <c r="U247" i="1"/>
  <c r="S247" i="1"/>
  <c r="Q247" i="1"/>
  <c r="DN246" i="1"/>
  <c r="DM246" i="1"/>
  <c r="DK246" i="1"/>
  <c r="DI246" i="1"/>
  <c r="DH246" i="1"/>
  <c r="DG246" i="1"/>
  <c r="DE246" i="1"/>
  <c r="DC246" i="1"/>
  <c r="CY246" i="1"/>
  <c r="CU246" i="1"/>
  <c r="CS246" i="1"/>
  <c r="CQ246" i="1"/>
  <c r="CO246" i="1"/>
  <c r="CM246" i="1"/>
  <c r="CM244" i="1" s="1"/>
  <c r="CI246" i="1"/>
  <c r="CG246" i="1"/>
  <c r="CE246" i="1"/>
  <c r="CC246" i="1"/>
  <c r="CA246" i="1"/>
  <c r="BY246" i="1"/>
  <c r="BW246" i="1"/>
  <c r="BU246" i="1"/>
  <c r="BU244" i="1" s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I246" i="1"/>
  <c r="AE246" i="1"/>
  <c r="AC246" i="1"/>
  <c r="AB246" i="1"/>
  <c r="W246" i="1"/>
  <c r="U246" i="1"/>
  <c r="S246" i="1"/>
  <c r="Q246" i="1"/>
  <c r="DO245" i="1"/>
  <c r="DM245" i="1"/>
  <c r="DK245" i="1"/>
  <c r="DI245" i="1"/>
  <c r="DG245" i="1"/>
  <c r="DE245" i="1"/>
  <c r="DC245" i="1"/>
  <c r="CY245" i="1"/>
  <c r="CU245" i="1"/>
  <c r="CS245" i="1"/>
  <c r="CQ245" i="1"/>
  <c r="CO245" i="1"/>
  <c r="CM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I245" i="1"/>
  <c r="AE245" i="1"/>
  <c r="AC245" i="1"/>
  <c r="AB245" i="1"/>
  <c r="DR245" i="1" s="1"/>
  <c r="DV245" i="1" s="1"/>
  <c r="W245" i="1"/>
  <c r="U245" i="1"/>
  <c r="S245" i="1"/>
  <c r="Q245" i="1"/>
  <c r="DQ244" i="1"/>
  <c r="DP244" i="1"/>
  <c r="DJ244" i="1"/>
  <c r="DF244" i="1"/>
  <c r="DD244" i="1"/>
  <c r="DB244" i="1"/>
  <c r="CZ244" i="1"/>
  <c r="CX244" i="1"/>
  <c r="CV244" i="1"/>
  <c r="CT244" i="1"/>
  <c r="CR244" i="1"/>
  <c r="CP244" i="1"/>
  <c r="CN244" i="1"/>
  <c r="CL244" i="1"/>
  <c r="CK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M244" i="1"/>
  <c r="AL244" i="1"/>
  <c r="AK244" i="1"/>
  <c r="AJ244" i="1"/>
  <c r="AH244" i="1"/>
  <c r="AG244" i="1"/>
  <c r="AF244" i="1"/>
  <c r="AD244" i="1"/>
  <c r="W244" i="1"/>
  <c r="V244" i="1"/>
  <c r="T244" i="1"/>
  <c r="R244" i="1"/>
  <c r="P244" i="1"/>
  <c r="DK243" i="1"/>
  <c r="AY243" i="1"/>
  <c r="AU243" i="1"/>
  <c r="AS243" i="1"/>
  <c r="AQ243" i="1"/>
  <c r="AO243" i="1"/>
  <c r="AI243" i="1"/>
  <c r="AE243" i="1"/>
  <c r="AC243" i="1"/>
  <c r="AB243" i="1"/>
  <c r="DR243" i="1" s="1"/>
  <c r="DV243" i="1" s="1"/>
  <c r="W243" i="1"/>
  <c r="U243" i="1"/>
  <c r="S243" i="1"/>
  <c r="Q243" i="1"/>
  <c r="DK242" i="1"/>
  <c r="AY242" i="1"/>
  <c r="AU242" i="1"/>
  <c r="AS242" i="1"/>
  <c r="AQ242" i="1"/>
  <c r="AO242" i="1"/>
  <c r="AI242" i="1"/>
  <c r="AE242" i="1"/>
  <c r="AC242" i="1"/>
  <c r="AB242" i="1"/>
  <c r="DR242" i="1" s="1"/>
  <c r="DV242" i="1" s="1"/>
  <c r="W242" i="1"/>
  <c r="U242" i="1"/>
  <c r="S242" i="1"/>
  <c r="Q242" i="1"/>
  <c r="DR241" i="1"/>
  <c r="DV241" i="1" s="1"/>
  <c r="DK241" i="1"/>
  <c r="AY241" i="1"/>
  <c r="AU241" i="1"/>
  <c r="AS241" i="1"/>
  <c r="AQ241" i="1"/>
  <c r="AO241" i="1"/>
  <c r="AI241" i="1"/>
  <c r="AE241" i="1"/>
  <c r="AC241" i="1"/>
  <c r="AB241" i="1"/>
  <c r="W241" i="1"/>
  <c r="U241" i="1"/>
  <c r="S241" i="1"/>
  <c r="Q241" i="1"/>
  <c r="DK240" i="1"/>
  <c r="AY240" i="1"/>
  <c r="AU240" i="1"/>
  <c r="AS240" i="1"/>
  <c r="AQ240" i="1"/>
  <c r="AO240" i="1"/>
  <c r="AI240" i="1"/>
  <c r="AE240" i="1"/>
  <c r="AC240" i="1"/>
  <c r="AB240" i="1"/>
  <c r="DR240" i="1" s="1"/>
  <c r="DV240" i="1" s="1"/>
  <c r="W240" i="1"/>
  <c r="U240" i="1"/>
  <c r="S240" i="1"/>
  <c r="Q240" i="1"/>
  <c r="DR239" i="1"/>
  <c r="DV239" i="1" s="1"/>
  <c r="DK239" i="1"/>
  <c r="AY239" i="1"/>
  <c r="AU239" i="1"/>
  <c r="AS239" i="1"/>
  <c r="AQ239" i="1"/>
  <c r="AO239" i="1"/>
  <c r="AI239" i="1"/>
  <c r="AE239" i="1"/>
  <c r="AC239" i="1"/>
  <c r="AB239" i="1"/>
  <c r="W239" i="1"/>
  <c r="U239" i="1"/>
  <c r="S239" i="1"/>
  <c r="Q239" i="1"/>
  <c r="DR238" i="1"/>
  <c r="DV238" i="1" s="1"/>
  <c r="DK238" i="1"/>
  <c r="AY238" i="1"/>
  <c r="AU238" i="1"/>
  <c r="AS238" i="1"/>
  <c r="AQ238" i="1"/>
  <c r="AO238" i="1"/>
  <c r="AI238" i="1"/>
  <c r="AE238" i="1"/>
  <c r="AC238" i="1"/>
  <c r="AB238" i="1"/>
  <c r="W238" i="1"/>
  <c r="U238" i="1"/>
  <c r="S238" i="1"/>
  <c r="Q238" i="1"/>
  <c r="DK237" i="1"/>
  <c r="AY237" i="1"/>
  <c r="AU237" i="1"/>
  <c r="AS237" i="1"/>
  <c r="AQ237" i="1"/>
  <c r="AO237" i="1"/>
  <c r="AI237" i="1"/>
  <c r="AE237" i="1"/>
  <c r="AC237" i="1"/>
  <c r="AB237" i="1"/>
  <c r="DR237" i="1" s="1"/>
  <c r="DV237" i="1" s="1"/>
  <c r="W237" i="1"/>
  <c r="U237" i="1"/>
  <c r="S237" i="1"/>
  <c r="Q237" i="1"/>
  <c r="DK236" i="1"/>
  <c r="AY236" i="1"/>
  <c r="AU236" i="1"/>
  <c r="AS236" i="1"/>
  <c r="AQ236" i="1"/>
  <c r="AO236" i="1"/>
  <c r="AI236" i="1"/>
  <c r="AE236" i="1"/>
  <c r="AC236" i="1"/>
  <c r="AB236" i="1"/>
  <c r="DR236" i="1" s="1"/>
  <c r="DV236" i="1" s="1"/>
  <c r="W236" i="1"/>
  <c r="U236" i="1"/>
  <c r="S236" i="1"/>
  <c r="Q236" i="1"/>
  <c r="DS236" i="1" s="1"/>
  <c r="DW236" i="1" s="1"/>
  <c r="DK235" i="1"/>
  <c r="AY235" i="1"/>
  <c r="AU235" i="1"/>
  <c r="AS235" i="1"/>
  <c r="AQ235" i="1"/>
  <c r="AO235" i="1"/>
  <c r="AI235" i="1"/>
  <c r="AE235" i="1"/>
  <c r="AC235" i="1"/>
  <c r="AB235" i="1"/>
  <c r="DR235" i="1" s="1"/>
  <c r="DV235" i="1" s="1"/>
  <c r="W235" i="1"/>
  <c r="U235" i="1"/>
  <c r="S235" i="1"/>
  <c r="Q235" i="1"/>
  <c r="DK234" i="1"/>
  <c r="AY234" i="1"/>
  <c r="AU234" i="1"/>
  <c r="AS234" i="1"/>
  <c r="AQ234" i="1"/>
  <c r="AO234" i="1"/>
  <c r="AI234" i="1"/>
  <c r="AE234" i="1"/>
  <c r="AC234" i="1"/>
  <c r="AB234" i="1"/>
  <c r="DR234" i="1" s="1"/>
  <c r="DV234" i="1" s="1"/>
  <c r="W234" i="1"/>
  <c r="U234" i="1"/>
  <c r="S234" i="1"/>
  <c r="Q234" i="1"/>
  <c r="DK233" i="1"/>
  <c r="AY233" i="1"/>
  <c r="AU233" i="1"/>
  <c r="AS233" i="1"/>
  <c r="AQ233" i="1"/>
  <c r="AO233" i="1"/>
  <c r="AI233" i="1"/>
  <c r="AE233" i="1"/>
  <c r="AC233" i="1"/>
  <c r="AB233" i="1"/>
  <c r="DR233" i="1" s="1"/>
  <c r="DV233" i="1" s="1"/>
  <c r="W233" i="1"/>
  <c r="U233" i="1"/>
  <c r="S233" i="1"/>
  <c r="Q233" i="1"/>
  <c r="DS233" i="1" s="1"/>
  <c r="DW233" i="1" s="1"/>
  <c r="DK232" i="1"/>
  <c r="AY232" i="1"/>
  <c r="AU232" i="1"/>
  <c r="AS232" i="1"/>
  <c r="AQ232" i="1"/>
  <c r="AO232" i="1"/>
  <c r="AI232" i="1"/>
  <c r="AE232" i="1"/>
  <c r="AC232" i="1"/>
  <c r="AB232" i="1"/>
  <c r="DR232" i="1" s="1"/>
  <c r="DV232" i="1" s="1"/>
  <c r="W232" i="1"/>
  <c r="U232" i="1"/>
  <c r="S232" i="1"/>
  <c r="Q232" i="1"/>
  <c r="DK231" i="1"/>
  <c r="AY231" i="1"/>
  <c r="AU231" i="1"/>
  <c r="AS231" i="1"/>
  <c r="AQ231" i="1"/>
  <c r="AO231" i="1"/>
  <c r="AI231" i="1"/>
  <c r="AE231" i="1"/>
  <c r="AC231" i="1"/>
  <c r="AB231" i="1"/>
  <c r="DR231" i="1" s="1"/>
  <c r="DV231" i="1" s="1"/>
  <c r="W231" i="1"/>
  <c r="U231" i="1"/>
  <c r="S231" i="1"/>
  <c r="Q231" i="1"/>
  <c r="DK230" i="1"/>
  <c r="AY230" i="1"/>
  <c r="AU230" i="1"/>
  <c r="AS230" i="1"/>
  <c r="AQ230" i="1"/>
  <c r="AO230" i="1"/>
  <c r="AI230" i="1"/>
  <c r="AE230" i="1"/>
  <c r="AC230" i="1"/>
  <c r="AB230" i="1"/>
  <c r="DR230" i="1" s="1"/>
  <c r="DV230" i="1" s="1"/>
  <c r="W230" i="1"/>
  <c r="U230" i="1"/>
  <c r="S230" i="1"/>
  <c r="Q230" i="1"/>
  <c r="DS230" i="1" s="1"/>
  <c r="DW230" i="1" s="1"/>
  <c r="DK229" i="1"/>
  <c r="AY229" i="1"/>
  <c r="AU229" i="1"/>
  <c r="AS229" i="1"/>
  <c r="AQ229" i="1"/>
  <c r="AO229" i="1"/>
  <c r="AI229" i="1"/>
  <c r="AE229" i="1"/>
  <c r="AC229" i="1"/>
  <c r="AB229" i="1"/>
  <c r="DR229" i="1" s="1"/>
  <c r="DV229" i="1" s="1"/>
  <c r="W229" i="1"/>
  <c r="U229" i="1"/>
  <c r="S229" i="1"/>
  <c r="Q229" i="1"/>
  <c r="DK228" i="1"/>
  <c r="AY228" i="1"/>
  <c r="AU228" i="1"/>
  <c r="AS228" i="1"/>
  <c r="AQ228" i="1"/>
  <c r="AO228" i="1"/>
  <c r="AI228" i="1"/>
  <c r="AE228" i="1"/>
  <c r="AC228" i="1"/>
  <c r="AB228" i="1"/>
  <c r="DR228" i="1" s="1"/>
  <c r="DV228" i="1" s="1"/>
  <c r="W228" i="1"/>
  <c r="U228" i="1"/>
  <c r="S228" i="1"/>
  <c r="Q228" i="1"/>
  <c r="DK227" i="1"/>
  <c r="AY227" i="1"/>
  <c r="AU227" i="1"/>
  <c r="AS227" i="1"/>
  <c r="AQ227" i="1"/>
  <c r="AO227" i="1"/>
  <c r="AI227" i="1"/>
  <c r="AE227" i="1"/>
  <c r="AC227" i="1"/>
  <c r="AB227" i="1"/>
  <c r="DR227" i="1" s="1"/>
  <c r="DV227" i="1" s="1"/>
  <c r="W227" i="1"/>
  <c r="U227" i="1"/>
  <c r="S227" i="1"/>
  <c r="Q227" i="1"/>
  <c r="DS227" i="1" s="1"/>
  <c r="DW227" i="1" s="1"/>
  <c r="DK226" i="1"/>
  <c r="BW226" i="1"/>
  <c r="AY226" i="1"/>
  <c r="AU226" i="1"/>
  <c r="AS226" i="1"/>
  <c r="AQ226" i="1"/>
  <c r="AO226" i="1"/>
  <c r="AI226" i="1"/>
  <c r="AE226" i="1"/>
  <c r="AC226" i="1"/>
  <c r="AB226" i="1"/>
  <c r="DR226" i="1" s="1"/>
  <c r="DV226" i="1" s="1"/>
  <c r="W226" i="1"/>
  <c r="U226" i="1"/>
  <c r="S226" i="1"/>
  <c r="Q226" i="1"/>
  <c r="DM225" i="1"/>
  <c r="DK225" i="1"/>
  <c r="CY225" i="1"/>
  <c r="CI225" i="1"/>
  <c r="BW225" i="1"/>
  <c r="AY225" i="1"/>
  <c r="AU225" i="1"/>
  <c r="AS225" i="1"/>
  <c r="AQ225" i="1"/>
  <c r="AO225" i="1"/>
  <c r="AI225" i="1"/>
  <c r="AE225" i="1"/>
  <c r="AC225" i="1"/>
  <c r="AB225" i="1"/>
  <c r="DR225" i="1" s="1"/>
  <c r="DV225" i="1" s="1"/>
  <c r="W225" i="1"/>
  <c r="U225" i="1"/>
  <c r="S225" i="1"/>
  <c r="Q225" i="1"/>
  <c r="DK224" i="1"/>
  <c r="AY224" i="1"/>
  <c r="AU224" i="1"/>
  <c r="AS224" i="1"/>
  <c r="AQ224" i="1"/>
  <c r="AO224" i="1"/>
  <c r="AI224" i="1"/>
  <c r="AE224" i="1"/>
  <c r="AC224" i="1"/>
  <c r="AB224" i="1"/>
  <c r="DR224" i="1" s="1"/>
  <c r="DV224" i="1" s="1"/>
  <c r="W224" i="1"/>
  <c r="U224" i="1"/>
  <c r="S224" i="1"/>
  <c r="Q224" i="1"/>
  <c r="DS224" i="1" s="1"/>
  <c r="DW224" i="1" s="1"/>
  <c r="DO223" i="1"/>
  <c r="DM223" i="1"/>
  <c r="DK223" i="1"/>
  <c r="DI223" i="1"/>
  <c r="DG223" i="1"/>
  <c r="DC223" i="1"/>
  <c r="CY223" i="1"/>
  <c r="CU223" i="1"/>
  <c r="CS223" i="1"/>
  <c r="CQ223" i="1"/>
  <c r="CO223" i="1"/>
  <c r="CM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U223" i="1"/>
  <c r="AS223" i="1"/>
  <c r="AQ223" i="1"/>
  <c r="AO223" i="1"/>
  <c r="AI223" i="1"/>
  <c r="AE223" i="1"/>
  <c r="AC223" i="1"/>
  <c r="AB223" i="1"/>
  <c r="DR223" i="1" s="1"/>
  <c r="DV223" i="1" s="1"/>
  <c r="W223" i="1"/>
  <c r="U223" i="1"/>
  <c r="S223" i="1"/>
  <c r="Q223" i="1"/>
  <c r="DO222" i="1"/>
  <c r="DM222" i="1"/>
  <c r="DK222" i="1"/>
  <c r="DI222" i="1"/>
  <c r="DG222" i="1"/>
  <c r="DC222" i="1"/>
  <c r="CY222" i="1"/>
  <c r="CU222" i="1"/>
  <c r="CS222" i="1"/>
  <c r="CQ222" i="1"/>
  <c r="CO222" i="1"/>
  <c r="CM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U222" i="1"/>
  <c r="AS222" i="1"/>
  <c r="AQ222" i="1"/>
  <c r="AO222" i="1"/>
  <c r="AI222" i="1"/>
  <c r="AE222" i="1"/>
  <c r="AC222" i="1"/>
  <c r="AB222" i="1"/>
  <c r="W222" i="1"/>
  <c r="U222" i="1"/>
  <c r="S222" i="1"/>
  <c r="Q222" i="1"/>
  <c r="DK221" i="1"/>
  <c r="AY221" i="1"/>
  <c r="AU221" i="1"/>
  <c r="AS221" i="1"/>
  <c r="AQ221" i="1"/>
  <c r="AO221" i="1"/>
  <c r="AI221" i="1"/>
  <c r="AE221" i="1"/>
  <c r="AC221" i="1"/>
  <c r="AB221" i="1"/>
  <c r="DR221" i="1" s="1"/>
  <c r="DV221" i="1" s="1"/>
  <c r="W221" i="1"/>
  <c r="U221" i="1"/>
  <c r="S221" i="1"/>
  <c r="Q221" i="1"/>
  <c r="DK220" i="1"/>
  <c r="AY220" i="1"/>
  <c r="AU220" i="1"/>
  <c r="AS220" i="1"/>
  <c r="AQ220" i="1"/>
  <c r="AO220" i="1"/>
  <c r="AI220" i="1"/>
  <c r="AE220" i="1"/>
  <c r="AC220" i="1"/>
  <c r="AB220" i="1"/>
  <c r="DR220" i="1" s="1"/>
  <c r="DV220" i="1" s="1"/>
  <c r="W220" i="1"/>
  <c r="U220" i="1"/>
  <c r="S220" i="1"/>
  <c r="Q220" i="1"/>
  <c r="DK219" i="1"/>
  <c r="AY219" i="1"/>
  <c r="AU219" i="1"/>
  <c r="AS219" i="1"/>
  <c r="AQ219" i="1"/>
  <c r="AO219" i="1"/>
  <c r="AI219" i="1"/>
  <c r="AE219" i="1"/>
  <c r="AC219" i="1"/>
  <c r="AB219" i="1"/>
  <c r="DR219" i="1" s="1"/>
  <c r="DV219" i="1" s="1"/>
  <c r="W219" i="1"/>
  <c r="U219" i="1"/>
  <c r="S219" i="1"/>
  <c r="Q219" i="1"/>
  <c r="DK218" i="1"/>
  <c r="AY218" i="1"/>
  <c r="AU218" i="1"/>
  <c r="AS218" i="1"/>
  <c r="AQ218" i="1"/>
  <c r="AO218" i="1"/>
  <c r="AI218" i="1"/>
  <c r="AE218" i="1"/>
  <c r="AC218" i="1"/>
  <c r="AB218" i="1"/>
  <c r="DR218" i="1" s="1"/>
  <c r="DV218" i="1" s="1"/>
  <c r="W218" i="1"/>
  <c r="U218" i="1"/>
  <c r="S218" i="1"/>
  <c r="Q218" i="1"/>
  <c r="DK217" i="1"/>
  <c r="AY217" i="1"/>
  <c r="AU217" i="1"/>
  <c r="AS217" i="1"/>
  <c r="AQ217" i="1"/>
  <c r="AO217" i="1"/>
  <c r="AI217" i="1"/>
  <c r="AE217" i="1"/>
  <c r="AC217" i="1"/>
  <c r="AB217" i="1"/>
  <c r="DR217" i="1" s="1"/>
  <c r="DV217" i="1" s="1"/>
  <c r="W217" i="1"/>
  <c r="U217" i="1"/>
  <c r="S217" i="1"/>
  <c r="Q217" i="1"/>
  <c r="DV216" i="1"/>
  <c r="DK216" i="1"/>
  <c r="AY216" i="1"/>
  <c r="AU216" i="1"/>
  <c r="AS216" i="1"/>
  <c r="AQ216" i="1"/>
  <c r="AO216" i="1"/>
  <c r="AI216" i="1"/>
  <c r="AE216" i="1"/>
  <c r="AC216" i="1"/>
  <c r="AB216" i="1"/>
  <c r="DR216" i="1" s="1"/>
  <c r="W216" i="1"/>
  <c r="U216" i="1"/>
  <c r="S216" i="1"/>
  <c r="Q216" i="1"/>
  <c r="DK215" i="1"/>
  <c r="AY215" i="1"/>
  <c r="AU215" i="1"/>
  <c r="AS215" i="1"/>
  <c r="AQ215" i="1"/>
  <c r="AO215" i="1"/>
  <c r="AI215" i="1"/>
  <c r="AE215" i="1"/>
  <c r="AC215" i="1"/>
  <c r="AB215" i="1"/>
  <c r="DR215" i="1" s="1"/>
  <c r="DV215" i="1" s="1"/>
  <c r="W215" i="1"/>
  <c r="U215" i="1"/>
  <c r="S215" i="1"/>
  <c r="Q215" i="1"/>
  <c r="DV214" i="1"/>
  <c r="DK214" i="1"/>
  <c r="AY214" i="1"/>
  <c r="AU214" i="1"/>
  <c r="AS214" i="1"/>
  <c r="AQ214" i="1"/>
  <c r="AO214" i="1"/>
  <c r="AI214" i="1"/>
  <c r="AE214" i="1"/>
  <c r="AC214" i="1"/>
  <c r="AB214" i="1"/>
  <c r="DR214" i="1" s="1"/>
  <c r="W214" i="1"/>
  <c r="U214" i="1"/>
  <c r="S214" i="1"/>
  <c r="Q214" i="1"/>
  <c r="DK213" i="1"/>
  <c r="AY213" i="1"/>
  <c r="AU213" i="1"/>
  <c r="AS213" i="1"/>
  <c r="AQ213" i="1"/>
  <c r="AO213" i="1"/>
  <c r="AI213" i="1"/>
  <c r="AE213" i="1"/>
  <c r="AC213" i="1"/>
  <c r="AB213" i="1"/>
  <c r="DR213" i="1" s="1"/>
  <c r="DV213" i="1" s="1"/>
  <c r="W213" i="1"/>
  <c r="U213" i="1"/>
  <c r="S213" i="1"/>
  <c r="Q213" i="1"/>
  <c r="DR212" i="1"/>
  <c r="DV212" i="1" s="1"/>
  <c r="DO212" i="1"/>
  <c r="DM212" i="1"/>
  <c r="DK212" i="1"/>
  <c r="DI212" i="1"/>
  <c r="DG212" i="1"/>
  <c r="DC212" i="1"/>
  <c r="CY212" i="1"/>
  <c r="CU212" i="1"/>
  <c r="CS212" i="1"/>
  <c r="CQ212" i="1"/>
  <c r="CO212" i="1"/>
  <c r="CM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U212" i="1"/>
  <c r="AS212" i="1"/>
  <c r="AQ212" i="1"/>
  <c r="AO212" i="1"/>
  <c r="AI212" i="1"/>
  <c r="AE212" i="1"/>
  <c r="AC212" i="1"/>
  <c r="AB212" i="1"/>
  <c r="W212" i="1"/>
  <c r="U212" i="1"/>
  <c r="S212" i="1"/>
  <c r="Q212" i="1"/>
  <c r="DO211" i="1"/>
  <c r="DM211" i="1"/>
  <c r="DK211" i="1"/>
  <c r="DI211" i="1"/>
  <c r="DG211" i="1"/>
  <c r="DC211" i="1"/>
  <c r="CY211" i="1"/>
  <c r="CU211" i="1"/>
  <c r="CS211" i="1"/>
  <c r="CQ211" i="1"/>
  <c r="CO211" i="1"/>
  <c r="CM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U211" i="1"/>
  <c r="AS211" i="1"/>
  <c r="AQ211" i="1"/>
  <c r="AO211" i="1"/>
  <c r="AI211" i="1"/>
  <c r="AE211" i="1"/>
  <c r="AC211" i="1"/>
  <c r="AB211" i="1"/>
  <c r="DR211" i="1" s="1"/>
  <c r="DV211" i="1" s="1"/>
  <c r="W211" i="1"/>
  <c r="U211" i="1"/>
  <c r="S211" i="1"/>
  <c r="Q211" i="1"/>
  <c r="DO210" i="1"/>
  <c r="DM210" i="1"/>
  <c r="DK210" i="1"/>
  <c r="DI210" i="1"/>
  <c r="DG210" i="1"/>
  <c r="DC210" i="1"/>
  <c r="CY210" i="1"/>
  <c r="CU210" i="1"/>
  <c r="CS210" i="1"/>
  <c r="CQ210" i="1"/>
  <c r="CO210" i="1"/>
  <c r="CM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U210" i="1"/>
  <c r="AS210" i="1"/>
  <c r="AQ210" i="1"/>
  <c r="AO210" i="1"/>
  <c r="AI210" i="1"/>
  <c r="AE210" i="1"/>
  <c r="AC210" i="1"/>
  <c r="AB210" i="1"/>
  <c r="DR210" i="1" s="1"/>
  <c r="DV210" i="1" s="1"/>
  <c r="W210" i="1"/>
  <c r="U210" i="1"/>
  <c r="S210" i="1"/>
  <c r="Q210" i="1"/>
  <c r="DO209" i="1"/>
  <c r="DM209" i="1"/>
  <c r="DK209" i="1"/>
  <c r="DI209" i="1"/>
  <c r="DG209" i="1"/>
  <c r="DC209" i="1"/>
  <c r="CY209" i="1"/>
  <c r="CU209" i="1"/>
  <c r="CS209" i="1"/>
  <c r="CQ209" i="1"/>
  <c r="CO209" i="1"/>
  <c r="CM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U209" i="1"/>
  <c r="AS209" i="1"/>
  <c r="AQ209" i="1"/>
  <c r="AO209" i="1"/>
  <c r="AI209" i="1"/>
  <c r="AE209" i="1"/>
  <c r="AC209" i="1"/>
  <c r="AB209" i="1"/>
  <c r="DR209" i="1" s="1"/>
  <c r="DV209" i="1" s="1"/>
  <c r="W209" i="1"/>
  <c r="U209" i="1"/>
  <c r="S209" i="1"/>
  <c r="Q209" i="1"/>
  <c r="DK208" i="1"/>
  <c r="AY208" i="1"/>
  <c r="AU208" i="1"/>
  <c r="AS208" i="1"/>
  <c r="AQ208" i="1"/>
  <c r="AO208" i="1"/>
  <c r="AI208" i="1"/>
  <c r="AE208" i="1"/>
  <c r="AC208" i="1"/>
  <c r="AB208" i="1"/>
  <c r="DR208" i="1" s="1"/>
  <c r="DV208" i="1" s="1"/>
  <c r="W208" i="1"/>
  <c r="U208" i="1"/>
  <c r="S208" i="1"/>
  <c r="Q208" i="1"/>
  <c r="DS208" i="1" s="1"/>
  <c r="DW208" i="1" s="1"/>
  <c r="DK207" i="1"/>
  <c r="AY207" i="1"/>
  <c r="AU207" i="1"/>
  <c r="AS207" i="1"/>
  <c r="AQ207" i="1"/>
  <c r="AO207" i="1"/>
  <c r="AI207" i="1"/>
  <c r="AE207" i="1"/>
  <c r="AC207" i="1"/>
  <c r="AB207" i="1"/>
  <c r="DR207" i="1" s="1"/>
  <c r="DV207" i="1" s="1"/>
  <c r="W207" i="1"/>
  <c r="U207" i="1"/>
  <c r="S207" i="1"/>
  <c r="Q207" i="1"/>
  <c r="DK206" i="1"/>
  <c r="AY206" i="1"/>
  <c r="AU206" i="1"/>
  <c r="AS206" i="1"/>
  <c r="AQ206" i="1"/>
  <c r="AO206" i="1"/>
  <c r="AI206" i="1"/>
  <c r="AE206" i="1"/>
  <c r="AC206" i="1"/>
  <c r="AB206" i="1"/>
  <c r="DR206" i="1" s="1"/>
  <c r="DV206" i="1" s="1"/>
  <c r="W206" i="1"/>
  <c r="U206" i="1"/>
  <c r="S206" i="1"/>
  <c r="Q206" i="1"/>
  <c r="DK205" i="1"/>
  <c r="AY205" i="1"/>
  <c r="AU205" i="1"/>
  <c r="AS205" i="1"/>
  <c r="AQ205" i="1"/>
  <c r="AO205" i="1"/>
  <c r="AI205" i="1"/>
  <c r="AE205" i="1"/>
  <c r="AC205" i="1"/>
  <c r="AB205" i="1"/>
  <c r="DR205" i="1" s="1"/>
  <c r="DV205" i="1" s="1"/>
  <c r="W205" i="1"/>
  <c r="U205" i="1"/>
  <c r="S205" i="1"/>
  <c r="Q205" i="1"/>
  <c r="DS205" i="1" s="1"/>
  <c r="DW205" i="1" s="1"/>
  <c r="DK204" i="1"/>
  <c r="AY204" i="1"/>
  <c r="AU204" i="1"/>
  <c r="AS204" i="1"/>
  <c r="AQ204" i="1"/>
  <c r="AO204" i="1"/>
  <c r="AI204" i="1"/>
  <c r="AE204" i="1"/>
  <c r="AC204" i="1"/>
  <c r="AB204" i="1"/>
  <c r="DR204" i="1" s="1"/>
  <c r="DV204" i="1" s="1"/>
  <c r="W204" i="1"/>
  <c r="U204" i="1"/>
  <c r="S204" i="1"/>
  <c r="Q204" i="1"/>
  <c r="DK203" i="1"/>
  <c r="AY203" i="1"/>
  <c r="AU203" i="1"/>
  <c r="AS203" i="1"/>
  <c r="AQ203" i="1"/>
  <c r="AO203" i="1"/>
  <c r="AI203" i="1"/>
  <c r="AE203" i="1"/>
  <c r="AC203" i="1"/>
  <c r="AB203" i="1"/>
  <c r="W203" i="1"/>
  <c r="U203" i="1"/>
  <c r="S203" i="1"/>
  <c r="Q203" i="1"/>
  <c r="DO202" i="1"/>
  <c r="DM202" i="1"/>
  <c r="DK202" i="1"/>
  <c r="DI202" i="1"/>
  <c r="DG202" i="1"/>
  <c r="DE202" i="1"/>
  <c r="DC202" i="1"/>
  <c r="CY202" i="1"/>
  <c r="CU202" i="1"/>
  <c r="CS202" i="1"/>
  <c r="CQ202" i="1"/>
  <c r="CO202" i="1"/>
  <c r="CM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U202" i="1"/>
  <c r="AS202" i="1"/>
  <c r="AQ202" i="1"/>
  <c r="AO202" i="1"/>
  <c r="AI202" i="1"/>
  <c r="AE202" i="1"/>
  <c r="AC202" i="1"/>
  <c r="AB202" i="1"/>
  <c r="DR202" i="1" s="1"/>
  <c r="DV202" i="1" s="1"/>
  <c r="W202" i="1"/>
  <c r="U202" i="1"/>
  <c r="S202" i="1"/>
  <c r="Q202" i="1"/>
  <c r="DS202" i="1" s="1"/>
  <c r="DW202" i="1" s="1"/>
  <c r="DR201" i="1"/>
  <c r="DV201" i="1" s="1"/>
  <c r="DO201" i="1"/>
  <c r="DM201" i="1"/>
  <c r="DK201" i="1"/>
  <c r="DI201" i="1"/>
  <c r="DG201" i="1"/>
  <c r="DE201" i="1"/>
  <c r="DC201" i="1"/>
  <c r="CY201" i="1"/>
  <c r="CU201" i="1"/>
  <c r="CS201" i="1"/>
  <c r="CQ201" i="1"/>
  <c r="CO201" i="1"/>
  <c r="CM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U201" i="1"/>
  <c r="AS201" i="1"/>
  <c r="AQ201" i="1"/>
  <c r="AO201" i="1"/>
  <c r="AI201" i="1"/>
  <c r="AE201" i="1"/>
  <c r="AC201" i="1"/>
  <c r="W201" i="1"/>
  <c r="U201" i="1"/>
  <c r="S201" i="1"/>
  <c r="Q201" i="1"/>
  <c r="DR200" i="1"/>
  <c r="DV200" i="1" s="1"/>
  <c r="DO200" i="1"/>
  <c r="DM200" i="1"/>
  <c r="DK200" i="1"/>
  <c r="DI200" i="1"/>
  <c r="DG200" i="1"/>
  <c r="DE200" i="1"/>
  <c r="DC200" i="1"/>
  <c r="CY200" i="1"/>
  <c r="CU200" i="1"/>
  <c r="CS200" i="1"/>
  <c r="CQ200" i="1"/>
  <c r="CO200" i="1"/>
  <c r="CM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U200" i="1"/>
  <c r="AS200" i="1"/>
  <c r="AQ200" i="1"/>
  <c r="AO200" i="1"/>
  <c r="AI200" i="1"/>
  <c r="AE200" i="1"/>
  <c r="AC200" i="1"/>
  <c r="AB200" i="1"/>
  <c r="W200" i="1"/>
  <c r="U200" i="1"/>
  <c r="S200" i="1"/>
  <c r="Q200" i="1"/>
  <c r="DO199" i="1"/>
  <c r="DM199" i="1"/>
  <c r="DK199" i="1"/>
  <c r="DI199" i="1"/>
  <c r="DG199" i="1"/>
  <c r="DE199" i="1"/>
  <c r="DC199" i="1"/>
  <c r="CY199" i="1"/>
  <c r="CU199" i="1"/>
  <c r="CS199" i="1"/>
  <c r="CQ199" i="1"/>
  <c r="CO199" i="1"/>
  <c r="CM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U199" i="1"/>
  <c r="AS199" i="1"/>
  <c r="AQ199" i="1"/>
  <c r="AO199" i="1"/>
  <c r="AI199" i="1"/>
  <c r="AE199" i="1"/>
  <c r="AC199" i="1"/>
  <c r="AB199" i="1"/>
  <c r="DR199" i="1" s="1"/>
  <c r="DV199" i="1" s="1"/>
  <c r="W199" i="1"/>
  <c r="U199" i="1"/>
  <c r="S199" i="1"/>
  <c r="Q199" i="1"/>
  <c r="DO198" i="1"/>
  <c r="DM198" i="1"/>
  <c r="DK198" i="1"/>
  <c r="DI198" i="1"/>
  <c r="DG198" i="1"/>
  <c r="DE198" i="1"/>
  <c r="DC198" i="1"/>
  <c r="CY198" i="1"/>
  <c r="CU198" i="1"/>
  <c r="CS198" i="1"/>
  <c r="CQ198" i="1"/>
  <c r="CO198" i="1"/>
  <c r="CM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U198" i="1"/>
  <c r="AS198" i="1"/>
  <c r="AQ198" i="1"/>
  <c r="AO198" i="1"/>
  <c r="AI198" i="1"/>
  <c r="AE198" i="1"/>
  <c r="AC198" i="1"/>
  <c r="AB198" i="1"/>
  <c r="DR198" i="1" s="1"/>
  <c r="DV198" i="1" s="1"/>
  <c r="W198" i="1"/>
  <c r="U198" i="1"/>
  <c r="S198" i="1"/>
  <c r="Q198" i="1"/>
  <c r="DO197" i="1"/>
  <c r="DM197" i="1"/>
  <c r="DK197" i="1"/>
  <c r="DI197" i="1"/>
  <c r="DG197" i="1"/>
  <c r="DE197" i="1"/>
  <c r="DC197" i="1"/>
  <c r="CY197" i="1"/>
  <c r="CU197" i="1"/>
  <c r="CS197" i="1"/>
  <c r="CQ197" i="1"/>
  <c r="CO197" i="1"/>
  <c r="CM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U197" i="1"/>
  <c r="AS197" i="1"/>
  <c r="AQ197" i="1"/>
  <c r="AO197" i="1"/>
  <c r="AI197" i="1"/>
  <c r="AE197" i="1"/>
  <c r="AC197" i="1"/>
  <c r="AB197" i="1"/>
  <c r="DR197" i="1" s="1"/>
  <c r="DV197" i="1" s="1"/>
  <c r="W197" i="1"/>
  <c r="U197" i="1"/>
  <c r="S197" i="1"/>
  <c r="Q197" i="1"/>
  <c r="DO196" i="1"/>
  <c r="DM196" i="1"/>
  <c r="DK196" i="1"/>
  <c r="DI196" i="1"/>
  <c r="DG196" i="1"/>
  <c r="DE196" i="1"/>
  <c r="DC196" i="1"/>
  <c r="CY196" i="1"/>
  <c r="CU196" i="1"/>
  <c r="CS196" i="1"/>
  <c r="CQ196" i="1"/>
  <c r="CO196" i="1"/>
  <c r="CM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U196" i="1"/>
  <c r="AS196" i="1"/>
  <c r="AQ196" i="1"/>
  <c r="AO196" i="1"/>
  <c r="AI196" i="1"/>
  <c r="AE196" i="1"/>
  <c r="AC196" i="1"/>
  <c r="AB196" i="1"/>
  <c r="DR196" i="1" s="1"/>
  <c r="DV196" i="1" s="1"/>
  <c r="W196" i="1"/>
  <c r="U196" i="1"/>
  <c r="S196" i="1"/>
  <c r="Q196" i="1"/>
  <c r="DO195" i="1"/>
  <c r="DM195" i="1"/>
  <c r="DK195" i="1"/>
  <c r="DI195" i="1"/>
  <c r="DG195" i="1"/>
  <c r="DE195" i="1"/>
  <c r="DC195" i="1"/>
  <c r="CY195" i="1"/>
  <c r="CU195" i="1"/>
  <c r="CS195" i="1"/>
  <c r="CQ195" i="1"/>
  <c r="CO195" i="1"/>
  <c r="CM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U195" i="1"/>
  <c r="AS195" i="1"/>
  <c r="AQ195" i="1"/>
  <c r="AO195" i="1"/>
  <c r="AI195" i="1"/>
  <c r="AE195" i="1"/>
  <c r="AC195" i="1"/>
  <c r="AB195" i="1"/>
  <c r="DR195" i="1" s="1"/>
  <c r="DV195" i="1" s="1"/>
  <c r="W195" i="1"/>
  <c r="U195" i="1"/>
  <c r="S195" i="1"/>
  <c r="Q195" i="1"/>
  <c r="DR194" i="1"/>
  <c r="DV194" i="1" s="1"/>
  <c r="DO194" i="1"/>
  <c r="DM194" i="1"/>
  <c r="DK194" i="1"/>
  <c r="DI194" i="1"/>
  <c r="DG194" i="1"/>
  <c r="DC194" i="1"/>
  <c r="CY194" i="1"/>
  <c r="CU194" i="1"/>
  <c r="CS194" i="1"/>
  <c r="CQ194" i="1"/>
  <c r="CO194" i="1"/>
  <c r="CM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U194" i="1"/>
  <c r="AS194" i="1"/>
  <c r="AQ194" i="1"/>
  <c r="AO194" i="1"/>
  <c r="AI194" i="1"/>
  <c r="AE194" i="1"/>
  <c r="AC194" i="1"/>
  <c r="AB194" i="1"/>
  <c r="W194" i="1"/>
  <c r="U194" i="1"/>
  <c r="S194" i="1"/>
  <c r="DS194" i="1" s="1"/>
  <c r="DW194" i="1" s="1"/>
  <c r="Q194" i="1"/>
  <c r="DO193" i="1"/>
  <c r="DM193" i="1"/>
  <c r="DK193" i="1"/>
  <c r="DI193" i="1"/>
  <c r="DG193" i="1"/>
  <c r="DC193" i="1"/>
  <c r="CY193" i="1"/>
  <c r="CU193" i="1"/>
  <c r="CS193" i="1"/>
  <c r="CQ193" i="1"/>
  <c r="CO193" i="1"/>
  <c r="CM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U193" i="1"/>
  <c r="AS193" i="1"/>
  <c r="AQ193" i="1"/>
  <c r="AO193" i="1"/>
  <c r="AI193" i="1"/>
  <c r="AE193" i="1"/>
  <c r="AC193" i="1"/>
  <c r="AB193" i="1"/>
  <c r="DR193" i="1" s="1"/>
  <c r="DV193" i="1" s="1"/>
  <c r="W193" i="1"/>
  <c r="U193" i="1"/>
  <c r="S193" i="1"/>
  <c r="Q193" i="1"/>
  <c r="DS193" i="1" s="1"/>
  <c r="DW193" i="1" s="1"/>
  <c r="AC192" i="1"/>
  <c r="AB192" i="1"/>
  <c r="DR192" i="1" s="1"/>
  <c r="DV192" i="1" s="1"/>
  <c r="Q192" i="1"/>
  <c r="AC191" i="1"/>
  <c r="AB191" i="1"/>
  <c r="DR191" i="1" s="1"/>
  <c r="DV191" i="1" s="1"/>
  <c r="S191" i="1"/>
  <c r="Q191" i="1"/>
  <c r="DS191" i="1" s="1"/>
  <c r="DW191" i="1" s="1"/>
  <c r="DO190" i="1"/>
  <c r="DM190" i="1"/>
  <c r="DK190" i="1"/>
  <c r="DI190" i="1"/>
  <c r="DG190" i="1"/>
  <c r="DE190" i="1"/>
  <c r="DC190" i="1"/>
  <c r="CY190" i="1"/>
  <c r="CU190" i="1"/>
  <c r="CS190" i="1"/>
  <c r="CQ190" i="1"/>
  <c r="CO190" i="1"/>
  <c r="CM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U190" i="1"/>
  <c r="AS190" i="1"/>
  <c r="AQ190" i="1"/>
  <c r="AO190" i="1"/>
  <c r="AI190" i="1"/>
  <c r="AE190" i="1"/>
  <c r="AC190" i="1"/>
  <c r="AB190" i="1"/>
  <c r="DR190" i="1" s="1"/>
  <c r="DV190" i="1" s="1"/>
  <c r="W190" i="1"/>
  <c r="U190" i="1"/>
  <c r="S190" i="1"/>
  <c r="Q190" i="1"/>
  <c r="DO189" i="1"/>
  <c r="DM189" i="1"/>
  <c r="DK189" i="1"/>
  <c r="DI189" i="1"/>
  <c r="DG189" i="1"/>
  <c r="DE189" i="1"/>
  <c r="DC189" i="1"/>
  <c r="CY189" i="1"/>
  <c r="CU189" i="1"/>
  <c r="CS189" i="1"/>
  <c r="CQ189" i="1"/>
  <c r="CO189" i="1"/>
  <c r="CM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U189" i="1"/>
  <c r="AS189" i="1"/>
  <c r="AQ189" i="1"/>
  <c r="AO189" i="1"/>
  <c r="AI189" i="1"/>
  <c r="AE189" i="1"/>
  <c r="AC189" i="1"/>
  <c r="AB189" i="1"/>
  <c r="DR189" i="1" s="1"/>
  <c r="DV189" i="1" s="1"/>
  <c r="W189" i="1"/>
  <c r="U189" i="1"/>
  <c r="S189" i="1"/>
  <c r="Q189" i="1"/>
  <c r="DO188" i="1"/>
  <c r="DM188" i="1"/>
  <c r="DK188" i="1"/>
  <c r="DI188" i="1"/>
  <c r="DG188" i="1"/>
  <c r="DE188" i="1"/>
  <c r="DC188" i="1"/>
  <c r="CY188" i="1"/>
  <c r="CU188" i="1"/>
  <c r="CS188" i="1"/>
  <c r="CQ188" i="1"/>
  <c r="CO188" i="1"/>
  <c r="CM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U188" i="1"/>
  <c r="AS188" i="1"/>
  <c r="AQ188" i="1"/>
  <c r="AO188" i="1"/>
  <c r="AI188" i="1"/>
  <c r="AE188" i="1"/>
  <c r="AC188" i="1"/>
  <c r="AB188" i="1"/>
  <c r="DR188" i="1" s="1"/>
  <c r="DV188" i="1" s="1"/>
  <c r="W188" i="1"/>
  <c r="U188" i="1"/>
  <c r="S188" i="1"/>
  <c r="Q188" i="1"/>
  <c r="DS188" i="1" s="1"/>
  <c r="DW188" i="1" s="1"/>
  <c r="DO187" i="1"/>
  <c r="DM187" i="1"/>
  <c r="DK187" i="1"/>
  <c r="DI187" i="1"/>
  <c r="DG187" i="1"/>
  <c r="DE187" i="1"/>
  <c r="DC187" i="1"/>
  <c r="CY187" i="1"/>
  <c r="CU187" i="1"/>
  <c r="CS187" i="1"/>
  <c r="CQ187" i="1"/>
  <c r="CO187" i="1"/>
  <c r="CM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U187" i="1"/>
  <c r="AS187" i="1"/>
  <c r="AQ187" i="1"/>
  <c r="AO187" i="1"/>
  <c r="AI187" i="1"/>
  <c r="AE187" i="1"/>
  <c r="AC187" i="1"/>
  <c r="AB187" i="1"/>
  <c r="DR187" i="1" s="1"/>
  <c r="DV187" i="1" s="1"/>
  <c r="W187" i="1"/>
  <c r="U187" i="1"/>
  <c r="S187" i="1"/>
  <c r="Q187" i="1"/>
  <c r="DO186" i="1"/>
  <c r="DM186" i="1"/>
  <c r="DK186" i="1"/>
  <c r="DI186" i="1"/>
  <c r="DG186" i="1"/>
  <c r="DE186" i="1"/>
  <c r="DC186" i="1"/>
  <c r="CY186" i="1"/>
  <c r="CU186" i="1"/>
  <c r="CS186" i="1"/>
  <c r="CQ186" i="1"/>
  <c r="CO186" i="1"/>
  <c r="CM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U186" i="1"/>
  <c r="AS186" i="1"/>
  <c r="DS186" i="1" s="1"/>
  <c r="DW186" i="1" s="1"/>
  <c r="AQ186" i="1"/>
  <c r="AO186" i="1"/>
  <c r="AI186" i="1"/>
  <c r="AE186" i="1"/>
  <c r="AC186" i="1"/>
  <c r="AB186" i="1"/>
  <c r="DR186" i="1" s="1"/>
  <c r="DV186" i="1" s="1"/>
  <c r="W186" i="1"/>
  <c r="U186" i="1"/>
  <c r="S186" i="1"/>
  <c r="Q186" i="1"/>
  <c r="DO185" i="1"/>
  <c r="DM185" i="1"/>
  <c r="DK185" i="1"/>
  <c r="DI185" i="1"/>
  <c r="DG185" i="1"/>
  <c r="DE185" i="1"/>
  <c r="DC185" i="1"/>
  <c r="CY185" i="1"/>
  <c r="CU185" i="1"/>
  <c r="CS185" i="1"/>
  <c r="CQ185" i="1"/>
  <c r="CO185" i="1"/>
  <c r="CM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U185" i="1"/>
  <c r="AS185" i="1"/>
  <c r="AQ185" i="1"/>
  <c r="AO185" i="1"/>
  <c r="AI185" i="1"/>
  <c r="AE185" i="1"/>
  <c r="AC185" i="1"/>
  <c r="AB185" i="1"/>
  <c r="DR185" i="1" s="1"/>
  <c r="DV185" i="1" s="1"/>
  <c r="W185" i="1"/>
  <c r="U185" i="1"/>
  <c r="S185" i="1"/>
  <c r="DS185" i="1" s="1"/>
  <c r="DW185" i="1" s="1"/>
  <c r="Q185" i="1"/>
  <c r="DO184" i="1"/>
  <c r="DM184" i="1"/>
  <c r="DK184" i="1"/>
  <c r="DI184" i="1"/>
  <c r="DG184" i="1"/>
  <c r="DE184" i="1"/>
  <c r="DC184" i="1"/>
  <c r="CY184" i="1"/>
  <c r="CU184" i="1"/>
  <c r="CS184" i="1"/>
  <c r="CQ184" i="1"/>
  <c r="CO184" i="1"/>
  <c r="CM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U184" i="1"/>
  <c r="AS184" i="1"/>
  <c r="AQ184" i="1"/>
  <c r="AO184" i="1"/>
  <c r="AI184" i="1"/>
  <c r="AE184" i="1"/>
  <c r="AC184" i="1"/>
  <c r="AB184" i="1"/>
  <c r="DR184" i="1" s="1"/>
  <c r="DV184" i="1" s="1"/>
  <c r="W184" i="1"/>
  <c r="U184" i="1"/>
  <c r="S184" i="1"/>
  <c r="Q184" i="1"/>
  <c r="DO183" i="1"/>
  <c r="DM183" i="1"/>
  <c r="DK183" i="1"/>
  <c r="DI183" i="1"/>
  <c r="DG183" i="1"/>
  <c r="DE183" i="1"/>
  <c r="DC183" i="1"/>
  <c r="CY183" i="1"/>
  <c r="CU183" i="1"/>
  <c r="CS183" i="1"/>
  <c r="CQ183" i="1"/>
  <c r="CO183" i="1"/>
  <c r="CM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U183" i="1"/>
  <c r="AS183" i="1"/>
  <c r="AQ183" i="1"/>
  <c r="AO183" i="1"/>
  <c r="AI183" i="1"/>
  <c r="AE183" i="1"/>
  <c r="AC183" i="1"/>
  <c r="AB183" i="1"/>
  <c r="DR183" i="1" s="1"/>
  <c r="DV183" i="1" s="1"/>
  <c r="W183" i="1"/>
  <c r="U183" i="1"/>
  <c r="S183" i="1"/>
  <c r="Q183" i="1"/>
  <c r="DO182" i="1"/>
  <c r="DM182" i="1"/>
  <c r="DK182" i="1"/>
  <c r="DI182" i="1"/>
  <c r="DG182" i="1"/>
  <c r="DE182" i="1"/>
  <c r="DC182" i="1"/>
  <c r="CY182" i="1"/>
  <c r="CU182" i="1"/>
  <c r="CS182" i="1"/>
  <c r="CQ182" i="1"/>
  <c r="CO182" i="1"/>
  <c r="CM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U182" i="1"/>
  <c r="AS182" i="1"/>
  <c r="AQ182" i="1"/>
  <c r="AO182" i="1"/>
  <c r="AI182" i="1"/>
  <c r="AE182" i="1"/>
  <c r="AC182" i="1"/>
  <c r="AB182" i="1"/>
  <c r="DR182" i="1" s="1"/>
  <c r="DV182" i="1" s="1"/>
  <c r="W182" i="1"/>
  <c r="U182" i="1"/>
  <c r="S182" i="1"/>
  <c r="Q182" i="1"/>
  <c r="DO181" i="1"/>
  <c r="DM181" i="1"/>
  <c r="DK181" i="1"/>
  <c r="DI181" i="1"/>
  <c r="DG181" i="1"/>
  <c r="DE181" i="1"/>
  <c r="DC181" i="1"/>
  <c r="CY181" i="1"/>
  <c r="CU181" i="1"/>
  <c r="CS181" i="1"/>
  <c r="CQ181" i="1"/>
  <c r="CO181" i="1"/>
  <c r="CM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U181" i="1"/>
  <c r="AS181" i="1"/>
  <c r="AQ181" i="1"/>
  <c r="AO181" i="1"/>
  <c r="AI181" i="1"/>
  <c r="AE181" i="1"/>
  <c r="AC181" i="1"/>
  <c r="AB181" i="1"/>
  <c r="DR181" i="1" s="1"/>
  <c r="DV181" i="1" s="1"/>
  <c r="W181" i="1"/>
  <c r="DS181" i="1" s="1"/>
  <c r="DW181" i="1" s="1"/>
  <c r="U181" i="1"/>
  <c r="S181" i="1"/>
  <c r="Q181" i="1"/>
  <c r="DO180" i="1"/>
  <c r="DM180" i="1"/>
  <c r="DK180" i="1"/>
  <c r="DI180" i="1"/>
  <c r="DG180" i="1"/>
  <c r="DE180" i="1"/>
  <c r="DC180" i="1"/>
  <c r="CY180" i="1"/>
  <c r="CU180" i="1"/>
  <c r="CS180" i="1"/>
  <c r="CQ180" i="1"/>
  <c r="CO180" i="1"/>
  <c r="CM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U180" i="1"/>
  <c r="AS180" i="1"/>
  <c r="AQ180" i="1"/>
  <c r="AO180" i="1"/>
  <c r="AI180" i="1"/>
  <c r="AE180" i="1"/>
  <c r="AC180" i="1"/>
  <c r="AB180" i="1"/>
  <c r="DR180" i="1" s="1"/>
  <c r="DV180" i="1" s="1"/>
  <c r="W180" i="1"/>
  <c r="U180" i="1"/>
  <c r="S180" i="1"/>
  <c r="Q180" i="1"/>
  <c r="DR179" i="1"/>
  <c r="DV179" i="1" s="1"/>
  <c r="DO179" i="1"/>
  <c r="DM179" i="1"/>
  <c r="DK179" i="1"/>
  <c r="DI179" i="1"/>
  <c r="DG179" i="1"/>
  <c r="DE179" i="1"/>
  <c r="DC179" i="1"/>
  <c r="CY179" i="1"/>
  <c r="CU179" i="1"/>
  <c r="CS179" i="1"/>
  <c r="CQ179" i="1"/>
  <c r="CO179" i="1"/>
  <c r="CM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U179" i="1"/>
  <c r="AS179" i="1"/>
  <c r="AQ179" i="1"/>
  <c r="AO179" i="1"/>
  <c r="AI179" i="1"/>
  <c r="AE179" i="1"/>
  <c r="AC179" i="1"/>
  <c r="AB179" i="1"/>
  <c r="W179" i="1"/>
  <c r="U179" i="1"/>
  <c r="S179" i="1"/>
  <c r="Q179" i="1"/>
  <c r="DO178" i="1"/>
  <c r="DM178" i="1"/>
  <c r="DK178" i="1"/>
  <c r="DI178" i="1"/>
  <c r="DG178" i="1"/>
  <c r="DE178" i="1"/>
  <c r="DC178" i="1"/>
  <c r="CY178" i="1"/>
  <c r="CU178" i="1"/>
  <c r="CS178" i="1"/>
  <c r="CQ178" i="1"/>
  <c r="CO178" i="1"/>
  <c r="CM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U178" i="1"/>
  <c r="AS178" i="1"/>
  <c r="AQ178" i="1"/>
  <c r="AO178" i="1"/>
  <c r="AI178" i="1"/>
  <c r="AE178" i="1"/>
  <c r="AC178" i="1"/>
  <c r="AB178" i="1"/>
  <c r="DR178" i="1" s="1"/>
  <c r="DV178" i="1" s="1"/>
  <c r="W178" i="1"/>
  <c r="U178" i="1"/>
  <c r="S178" i="1"/>
  <c r="Q178" i="1"/>
  <c r="DO177" i="1"/>
  <c r="DM177" i="1"/>
  <c r="DK177" i="1"/>
  <c r="DI177" i="1"/>
  <c r="DG177" i="1"/>
  <c r="DE177" i="1"/>
  <c r="DC177" i="1"/>
  <c r="CY177" i="1"/>
  <c r="CU177" i="1"/>
  <c r="CS177" i="1"/>
  <c r="CQ177" i="1"/>
  <c r="CO177" i="1"/>
  <c r="CM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U177" i="1"/>
  <c r="AS177" i="1"/>
  <c r="AQ177" i="1"/>
  <c r="AO177" i="1"/>
  <c r="AI177" i="1"/>
  <c r="AE177" i="1"/>
  <c r="AC177" i="1"/>
  <c r="AB177" i="1"/>
  <c r="DR177" i="1" s="1"/>
  <c r="DV177" i="1" s="1"/>
  <c r="W177" i="1"/>
  <c r="U177" i="1"/>
  <c r="S177" i="1"/>
  <c r="Q177" i="1"/>
  <c r="DO176" i="1"/>
  <c r="DM176" i="1"/>
  <c r="DK176" i="1"/>
  <c r="DI176" i="1"/>
  <c r="DG176" i="1"/>
  <c r="DE176" i="1"/>
  <c r="DC176" i="1"/>
  <c r="CY176" i="1"/>
  <c r="CU176" i="1"/>
  <c r="CS176" i="1"/>
  <c r="CQ176" i="1"/>
  <c r="CO176" i="1"/>
  <c r="CM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U176" i="1"/>
  <c r="AS176" i="1"/>
  <c r="AQ176" i="1"/>
  <c r="AO176" i="1"/>
  <c r="AI176" i="1"/>
  <c r="AE176" i="1"/>
  <c r="AC176" i="1"/>
  <c r="AB176" i="1"/>
  <c r="DR176" i="1" s="1"/>
  <c r="DV176" i="1" s="1"/>
  <c r="W176" i="1"/>
  <c r="U176" i="1"/>
  <c r="S176" i="1"/>
  <c r="Q176" i="1"/>
  <c r="DO175" i="1"/>
  <c r="DM175" i="1"/>
  <c r="DK175" i="1"/>
  <c r="DI175" i="1"/>
  <c r="DG175" i="1"/>
  <c r="DE175" i="1"/>
  <c r="DC175" i="1"/>
  <c r="CY175" i="1"/>
  <c r="CU175" i="1"/>
  <c r="CS175" i="1"/>
  <c r="CQ175" i="1"/>
  <c r="CO175" i="1"/>
  <c r="CM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U175" i="1"/>
  <c r="AS175" i="1"/>
  <c r="AQ175" i="1"/>
  <c r="AO175" i="1"/>
  <c r="AI175" i="1"/>
  <c r="AE175" i="1"/>
  <c r="AC175" i="1"/>
  <c r="AB175" i="1"/>
  <c r="DR175" i="1" s="1"/>
  <c r="DV175" i="1" s="1"/>
  <c r="W175" i="1"/>
  <c r="DS175" i="1" s="1"/>
  <c r="DW175" i="1" s="1"/>
  <c r="U175" i="1"/>
  <c r="S175" i="1"/>
  <c r="Q175" i="1"/>
  <c r="DO174" i="1"/>
  <c r="DM174" i="1"/>
  <c r="DK174" i="1"/>
  <c r="DI174" i="1"/>
  <c r="DG174" i="1"/>
  <c r="DE174" i="1"/>
  <c r="DC174" i="1"/>
  <c r="CY174" i="1"/>
  <c r="CU174" i="1"/>
  <c r="CS174" i="1"/>
  <c r="CQ174" i="1"/>
  <c r="CO174" i="1"/>
  <c r="CM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U174" i="1"/>
  <c r="AS174" i="1"/>
  <c r="AQ174" i="1"/>
  <c r="AO174" i="1"/>
  <c r="AI174" i="1"/>
  <c r="AE174" i="1"/>
  <c r="AC174" i="1"/>
  <c r="AB174" i="1"/>
  <c r="DR174" i="1" s="1"/>
  <c r="DV174" i="1" s="1"/>
  <c r="W174" i="1"/>
  <c r="U174" i="1"/>
  <c r="S174" i="1"/>
  <c r="Q174" i="1"/>
  <c r="DR173" i="1"/>
  <c r="DV173" i="1" s="1"/>
  <c r="DO173" i="1"/>
  <c r="DM173" i="1"/>
  <c r="DK173" i="1"/>
  <c r="DI173" i="1"/>
  <c r="DG173" i="1"/>
  <c r="DE173" i="1"/>
  <c r="DC173" i="1"/>
  <c r="CY173" i="1"/>
  <c r="CU173" i="1"/>
  <c r="CS173" i="1"/>
  <c r="CQ173" i="1"/>
  <c r="CO173" i="1"/>
  <c r="CM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U173" i="1"/>
  <c r="AS173" i="1"/>
  <c r="AQ173" i="1"/>
  <c r="AO173" i="1"/>
  <c r="AI173" i="1"/>
  <c r="AE173" i="1"/>
  <c r="AC173" i="1"/>
  <c r="AB173" i="1"/>
  <c r="W173" i="1"/>
  <c r="U173" i="1"/>
  <c r="S173" i="1"/>
  <c r="Q173" i="1"/>
  <c r="DO172" i="1"/>
  <c r="DM172" i="1"/>
  <c r="DK172" i="1"/>
  <c r="DI172" i="1"/>
  <c r="DG172" i="1"/>
  <c r="DE172" i="1"/>
  <c r="DC172" i="1"/>
  <c r="CY172" i="1"/>
  <c r="CU172" i="1"/>
  <c r="CS172" i="1"/>
  <c r="CQ172" i="1"/>
  <c r="CO172" i="1"/>
  <c r="CM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U172" i="1"/>
  <c r="AS172" i="1"/>
  <c r="AQ172" i="1"/>
  <c r="AO172" i="1"/>
  <c r="AI172" i="1"/>
  <c r="AE172" i="1"/>
  <c r="AC172" i="1"/>
  <c r="AB172" i="1"/>
  <c r="DR172" i="1" s="1"/>
  <c r="DV172" i="1" s="1"/>
  <c r="W172" i="1"/>
  <c r="U172" i="1"/>
  <c r="S172" i="1"/>
  <c r="Q172" i="1"/>
  <c r="DO171" i="1"/>
  <c r="DM171" i="1"/>
  <c r="DK171" i="1"/>
  <c r="DI171" i="1"/>
  <c r="DG171" i="1"/>
  <c r="DE171" i="1"/>
  <c r="DC171" i="1"/>
  <c r="CY171" i="1"/>
  <c r="CU171" i="1"/>
  <c r="CS171" i="1"/>
  <c r="CQ171" i="1"/>
  <c r="CO171" i="1"/>
  <c r="CM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U171" i="1"/>
  <c r="AS171" i="1"/>
  <c r="AQ171" i="1"/>
  <c r="AO171" i="1"/>
  <c r="AI171" i="1"/>
  <c r="AE171" i="1"/>
  <c r="AC171" i="1"/>
  <c r="AB171" i="1"/>
  <c r="DR171" i="1" s="1"/>
  <c r="DV171" i="1" s="1"/>
  <c r="W171" i="1"/>
  <c r="U171" i="1"/>
  <c r="S171" i="1"/>
  <c r="Q171" i="1"/>
  <c r="DO170" i="1"/>
  <c r="DM170" i="1"/>
  <c r="DK170" i="1"/>
  <c r="DI170" i="1"/>
  <c r="DG170" i="1"/>
  <c r="DE170" i="1"/>
  <c r="DC170" i="1"/>
  <c r="CY170" i="1"/>
  <c r="CU170" i="1"/>
  <c r="CS170" i="1"/>
  <c r="CQ170" i="1"/>
  <c r="CO170" i="1"/>
  <c r="CM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U170" i="1"/>
  <c r="AS170" i="1"/>
  <c r="AP170" i="1"/>
  <c r="AO170" i="1"/>
  <c r="AI170" i="1"/>
  <c r="AE170" i="1"/>
  <c r="AC170" i="1"/>
  <c r="AB170" i="1"/>
  <c r="DR170" i="1" s="1"/>
  <c r="DV170" i="1" s="1"/>
  <c r="W170" i="1"/>
  <c r="U170" i="1"/>
  <c r="S170" i="1"/>
  <c r="Q170" i="1"/>
  <c r="DO169" i="1"/>
  <c r="DM169" i="1"/>
  <c r="DK169" i="1"/>
  <c r="DI169" i="1"/>
  <c r="DG169" i="1"/>
  <c r="DE169" i="1"/>
  <c r="DC169" i="1"/>
  <c r="CY169" i="1"/>
  <c r="CU169" i="1"/>
  <c r="CS169" i="1"/>
  <c r="CQ169" i="1"/>
  <c r="CO169" i="1"/>
  <c r="CM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U169" i="1"/>
  <c r="AS169" i="1"/>
  <c r="AP169" i="1"/>
  <c r="AQ169" i="1" s="1"/>
  <c r="AO169" i="1"/>
  <c r="AI169" i="1"/>
  <c r="AE169" i="1"/>
  <c r="AC169" i="1"/>
  <c r="AB169" i="1"/>
  <c r="W169" i="1"/>
  <c r="U169" i="1"/>
  <c r="S169" i="1"/>
  <c r="Q169" i="1"/>
  <c r="DR168" i="1"/>
  <c r="DV168" i="1" s="1"/>
  <c r="DO168" i="1"/>
  <c r="DM168" i="1"/>
  <c r="DK168" i="1"/>
  <c r="DI168" i="1"/>
  <c r="DG168" i="1"/>
  <c r="DE168" i="1"/>
  <c r="DC168" i="1"/>
  <c r="CY168" i="1"/>
  <c r="CU168" i="1"/>
  <c r="CS168" i="1"/>
  <c r="CQ168" i="1"/>
  <c r="CO168" i="1"/>
  <c r="CM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U168" i="1"/>
  <c r="AS168" i="1"/>
  <c r="AP168" i="1"/>
  <c r="AQ168" i="1" s="1"/>
  <c r="AO168" i="1"/>
  <c r="AI168" i="1"/>
  <c r="AE168" i="1"/>
  <c r="AC168" i="1"/>
  <c r="AB168" i="1"/>
  <c r="W168" i="1"/>
  <c r="U168" i="1"/>
  <c r="S168" i="1"/>
  <c r="Q168" i="1"/>
  <c r="DR167" i="1"/>
  <c r="DV167" i="1" s="1"/>
  <c r="DO167" i="1"/>
  <c r="DM167" i="1"/>
  <c r="DK167" i="1"/>
  <c r="DI167" i="1"/>
  <c r="DG167" i="1"/>
  <c r="DE167" i="1"/>
  <c r="DC167" i="1"/>
  <c r="CY167" i="1"/>
  <c r="CU167" i="1"/>
  <c r="CS167" i="1"/>
  <c r="CQ167" i="1"/>
  <c r="CO167" i="1"/>
  <c r="CM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U167" i="1"/>
  <c r="AS167" i="1"/>
  <c r="AQ167" i="1"/>
  <c r="AO167" i="1"/>
  <c r="AI167" i="1"/>
  <c r="AE167" i="1"/>
  <c r="AC167" i="1"/>
  <c r="AB167" i="1"/>
  <c r="W167" i="1"/>
  <c r="U167" i="1"/>
  <c r="S167" i="1"/>
  <c r="Q167" i="1"/>
  <c r="DO166" i="1"/>
  <c r="DM166" i="1"/>
  <c r="DK166" i="1"/>
  <c r="DI166" i="1"/>
  <c r="DG166" i="1"/>
  <c r="DE166" i="1"/>
  <c r="DC166" i="1"/>
  <c r="CY166" i="1"/>
  <c r="CU166" i="1"/>
  <c r="CS166" i="1"/>
  <c r="CQ166" i="1"/>
  <c r="CO166" i="1"/>
  <c r="CM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U166" i="1"/>
  <c r="AS166" i="1"/>
  <c r="AP166" i="1"/>
  <c r="AQ166" i="1" s="1"/>
  <c r="AO166" i="1"/>
  <c r="AI166" i="1"/>
  <c r="AE166" i="1"/>
  <c r="AC166" i="1"/>
  <c r="AB166" i="1"/>
  <c r="W166" i="1"/>
  <c r="U166" i="1"/>
  <c r="S166" i="1"/>
  <c r="Q166" i="1"/>
  <c r="DO165" i="1"/>
  <c r="DM165" i="1"/>
  <c r="DK165" i="1"/>
  <c r="DI165" i="1"/>
  <c r="DG165" i="1"/>
  <c r="DE165" i="1"/>
  <c r="DC165" i="1"/>
  <c r="CY165" i="1"/>
  <c r="CU165" i="1"/>
  <c r="CS165" i="1"/>
  <c r="CQ165" i="1"/>
  <c r="CO165" i="1"/>
  <c r="CM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U165" i="1"/>
  <c r="AS165" i="1"/>
  <c r="AQ165" i="1"/>
  <c r="AO165" i="1"/>
  <c r="AI165" i="1"/>
  <c r="AE165" i="1"/>
  <c r="AC165" i="1"/>
  <c r="AB165" i="1"/>
  <c r="W165" i="1"/>
  <c r="U165" i="1"/>
  <c r="U164" i="1" s="1"/>
  <c r="S165" i="1"/>
  <c r="Q165" i="1"/>
  <c r="DQ164" i="1"/>
  <c r="DP164" i="1"/>
  <c r="DN164" i="1"/>
  <c r="DL164" i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K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W164" i="1"/>
  <c r="AV164" i="1"/>
  <c r="AT164" i="1"/>
  <c r="AR164" i="1"/>
  <c r="AN164" i="1"/>
  <c r="AM164" i="1"/>
  <c r="AL164" i="1"/>
  <c r="AK164" i="1"/>
  <c r="AJ164" i="1"/>
  <c r="AH164" i="1"/>
  <c r="AG164" i="1"/>
  <c r="AF164" i="1"/>
  <c r="AD164" i="1"/>
  <c r="V164" i="1"/>
  <c r="T164" i="1"/>
  <c r="R164" i="1"/>
  <c r="P164" i="1"/>
  <c r="DR163" i="1"/>
  <c r="DV163" i="1" s="1"/>
  <c r="DN163" i="1"/>
  <c r="DO163" i="1" s="1"/>
  <c r="DM163" i="1"/>
  <c r="DK163" i="1"/>
  <c r="DI163" i="1"/>
  <c r="DG163" i="1"/>
  <c r="DE163" i="1"/>
  <c r="DC163" i="1"/>
  <c r="CY163" i="1"/>
  <c r="CU163" i="1"/>
  <c r="CS163" i="1"/>
  <c r="CQ163" i="1"/>
  <c r="CO163" i="1"/>
  <c r="CM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I163" i="1"/>
  <c r="AE163" i="1"/>
  <c r="AC163" i="1"/>
  <c r="AB163" i="1"/>
  <c r="W163" i="1"/>
  <c r="T163" i="1"/>
  <c r="T160" i="1" s="1"/>
  <c r="S163" i="1"/>
  <c r="S160" i="1" s="1"/>
  <c r="Q163" i="1"/>
  <c r="DO162" i="1"/>
  <c r="DM162" i="1"/>
  <c r="DK162" i="1"/>
  <c r="DI162" i="1"/>
  <c r="DG162" i="1"/>
  <c r="DE162" i="1"/>
  <c r="DE160" i="1" s="1"/>
  <c r="DC162" i="1"/>
  <c r="CY162" i="1"/>
  <c r="CU162" i="1"/>
  <c r="CS162" i="1"/>
  <c r="CQ162" i="1"/>
  <c r="CO162" i="1"/>
  <c r="CM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I162" i="1"/>
  <c r="AI160" i="1" s="1"/>
  <c r="AE162" i="1"/>
  <c r="AC162" i="1"/>
  <c r="AB162" i="1"/>
  <c r="DR162" i="1" s="1"/>
  <c r="DV162" i="1" s="1"/>
  <c r="W162" i="1"/>
  <c r="U162" i="1"/>
  <c r="S162" i="1"/>
  <c r="Q162" i="1"/>
  <c r="DN161" i="1"/>
  <c r="DO161" i="1" s="1"/>
  <c r="DO160" i="1" s="1"/>
  <c r="DM161" i="1"/>
  <c r="DM160" i="1" s="1"/>
  <c r="DK161" i="1"/>
  <c r="DI161" i="1"/>
  <c r="DG161" i="1"/>
  <c r="DE161" i="1"/>
  <c r="DC161" i="1"/>
  <c r="CY161" i="1"/>
  <c r="CU161" i="1"/>
  <c r="CS161" i="1"/>
  <c r="CS160" i="1" s="1"/>
  <c r="CQ161" i="1"/>
  <c r="CQ160" i="1" s="1"/>
  <c r="CO161" i="1"/>
  <c r="CM161" i="1"/>
  <c r="CI161" i="1"/>
  <c r="CG161" i="1"/>
  <c r="CE161" i="1"/>
  <c r="CE160" i="1" s="1"/>
  <c r="CC161" i="1"/>
  <c r="CC160" i="1" s="1"/>
  <c r="CA161" i="1"/>
  <c r="BY161" i="1"/>
  <c r="BW161" i="1"/>
  <c r="BU161" i="1"/>
  <c r="BS161" i="1"/>
  <c r="BS160" i="1" s="1"/>
  <c r="BQ161" i="1"/>
  <c r="BQ160" i="1" s="1"/>
  <c r="BO161" i="1"/>
  <c r="BM161" i="1"/>
  <c r="BK161" i="1"/>
  <c r="BI161" i="1"/>
  <c r="BG161" i="1"/>
  <c r="BG160" i="1" s="1"/>
  <c r="BE161" i="1"/>
  <c r="BE160" i="1" s="1"/>
  <c r="BC161" i="1"/>
  <c r="BA161" i="1"/>
  <c r="AY161" i="1"/>
  <c r="AW161" i="1"/>
  <c r="AU161" i="1"/>
  <c r="AU160" i="1" s="1"/>
  <c r="AS161" i="1"/>
  <c r="AS160" i="1" s="1"/>
  <c r="AP161" i="1"/>
  <c r="AP160" i="1" s="1"/>
  <c r="AO161" i="1"/>
  <c r="AO160" i="1" s="1"/>
  <c r="AI161" i="1"/>
  <c r="AE161" i="1"/>
  <c r="AC161" i="1"/>
  <c r="AB161" i="1"/>
  <c r="W161" i="1"/>
  <c r="U161" i="1"/>
  <c r="S161" i="1"/>
  <c r="Q161" i="1"/>
  <c r="DQ160" i="1"/>
  <c r="DP160" i="1"/>
  <c r="DN160" i="1"/>
  <c r="DL160" i="1"/>
  <c r="DK160" i="1"/>
  <c r="DJ160" i="1"/>
  <c r="DH160" i="1"/>
  <c r="DF160" i="1"/>
  <c r="DD160" i="1"/>
  <c r="DC160" i="1"/>
  <c r="DB160" i="1"/>
  <c r="CZ160" i="1"/>
  <c r="CX160" i="1"/>
  <c r="CV160" i="1"/>
  <c r="CT160" i="1"/>
  <c r="CR160" i="1"/>
  <c r="CP160" i="1"/>
  <c r="CN160" i="1"/>
  <c r="CL160" i="1"/>
  <c r="CK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N160" i="1"/>
  <c r="AM160" i="1"/>
  <c r="AL160" i="1"/>
  <c r="AK160" i="1"/>
  <c r="AJ160" i="1"/>
  <c r="AH160" i="1"/>
  <c r="AG160" i="1"/>
  <c r="AF160" i="1"/>
  <c r="AD160" i="1"/>
  <c r="W160" i="1"/>
  <c r="V160" i="1"/>
  <c r="R160" i="1"/>
  <c r="P160" i="1"/>
  <c r="DO159" i="1"/>
  <c r="DM159" i="1"/>
  <c r="DK159" i="1"/>
  <c r="DI159" i="1"/>
  <c r="DG159" i="1"/>
  <c r="DE159" i="1"/>
  <c r="DC159" i="1"/>
  <c r="CY159" i="1"/>
  <c r="CU159" i="1"/>
  <c r="CS159" i="1"/>
  <c r="CQ159" i="1"/>
  <c r="CO159" i="1"/>
  <c r="CM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I159" i="1"/>
  <c r="AE159" i="1"/>
  <c r="AC159" i="1"/>
  <c r="AB159" i="1"/>
  <c r="DR159" i="1" s="1"/>
  <c r="DV159" i="1" s="1"/>
  <c r="W159" i="1"/>
  <c r="U159" i="1"/>
  <c r="S159" i="1"/>
  <c r="Q159" i="1"/>
  <c r="DO158" i="1"/>
  <c r="DM158" i="1"/>
  <c r="DK158" i="1"/>
  <c r="DI158" i="1"/>
  <c r="DG158" i="1"/>
  <c r="DE158" i="1"/>
  <c r="DC158" i="1"/>
  <c r="CY158" i="1"/>
  <c r="CU158" i="1"/>
  <c r="CS158" i="1"/>
  <c r="CQ158" i="1"/>
  <c r="CO158" i="1"/>
  <c r="CM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DS158" i="1" s="1"/>
  <c r="DW158" i="1" s="1"/>
  <c r="AQ158" i="1"/>
  <c r="AO158" i="1"/>
  <c r="AI158" i="1"/>
  <c r="AE158" i="1"/>
  <c r="AC158" i="1"/>
  <c r="AB158" i="1"/>
  <c r="DR158" i="1" s="1"/>
  <c r="DV158" i="1" s="1"/>
  <c r="W158" i="1"/>
  <c r="U158" i="1"/>
  <c r="S158" i="1"/>
  <c r="Q158" i="1"/>
  <c r="DR157" i="1"/>
  <c r="DV157" i="1" s="1"/>
  <c r="DO157" i="1"/>
  <c r="DM157" i="1"/>
  <c r="DK157" i="1"/>
  <c r="DI157" i="1"/>
  <c r="DG157" i="1"/>
  <c r="DE157" i="1"/>
  <c r="DC157" i="1"/>
  <c r="CY157" i="1"/>
  <c r="CU157" i="1"/>
  <c r="CS157" i="1"/>
  <c r="CQ157" i="1"/>
  <c r="CO157" i="1"/>
  <c r="CM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I157" i="1"/>
  <c r="AE157" i="1"/>
  <c r="AC157" i="1"/>
  <c r="AB157" i="1"/>
  <c r="W157" i="1"/>
  <c r="U157" i="1"/>
  <c r="S157" i="1"/>
  <c r="Q157" i="1"/>
  <c r="DO156" i="1"/>
  <c r="DM156" i="1"/>
  <c r="DK156" i="1"/>
  <c r="DI156" i="1"/>
  <c r="DG156" i="1"/>
  <c r="DE156" i="1"/>
  <c r="DC156" i="1"/>
  <c r="CY156" i="1"/>
  <c r="CU156" i="1"/>
  <c r="CS156" i="1"/>
  <c r="CQ156" i="1"/>
  <c r="CO156" i="1"/>
  <c r="CM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I156" i="1"/>
  <c r="AE156" i="1"/>
  <c r="AC156" i="1"/>
  <c r="AB156" i="1"/>
  <c r="DR156" i="1" s="1"/>
  <c r="DV156" i="1" s="1"/>
  <c r="W156" i="1"/>
  <c r="U156" i="1"/>
  <c r="S156" i="1"/>
  <c r="Q156" i="1"/>
  <c r="DO155" i="1"/>
  <c r="DM155" i="1"/>
  <c r="DK155" i="1"/>
  <c r="DI155" i="1"/>
  <c r="DG155" i="1"/>
  <c r="DE155" i="1"/>
  <c r="DC155" i="1"/>
  <c r="CY155" i="1"/>
  <c r="CU155" i="1"/>
  <c r="CS155" i="1"/>
  <c r="CQ155" i="1"/>
  <c r="CO155" i="1"/>
  <c r="CM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I152" i="1" s="1"/>
  <c r="BG155" i="1"/>
  <c r="BE155" i="1"/>
  <c r="BC155" i="1"/>
  <c r="BA155" i="1"/>
  <c r="AY155" i="1"/>
  <c r="AW155" i="1"/>
  <c r="AU155" i="1"/>
  <c r="AS155" i="1"/>
  <c r="AQ155" i="1"/>
  <c r="AO155" i="1"/>
  <c r="AI155" i="1"/>
  <c r="AE155" i="1"/>
  <c r="AC155" i="1"/>
  <c r="AB155" i="1"/>
  <c r="DR155" i="1" s="1"/>
  <c r="DV155" i="1" s="1"/>
  <c r="W155" i="1"/>
  <c r="U155" i="1"/>
  <c r="S155" i="1"/>
  <c r="Q155" i="1"/>
  <c r="DS155" i="1" s="1"/>
  <c r="DW155" i="1" s="1"/>
  <c r="DR154" i="1"/>
  <c r="DV154" i="1" s="1"/>
  <c r="DO154" i="1"/>
  <c r="DM154" i="1"/>
  <c r="DK154" i="1"/>
  <c r="DI154" i="1"/>
  <c r="DG154" i="1"/>
  <c r="DE154" i="1"/>
  <c r="DC154" i="1"/>
  <c r="CY154" i="1"/>
  <c r="CU154" i="1"/>
  <c r="CS154" i="1"/>
  <c r="CQ154" i="1"/>
  <c r="CO154" i="1"/>
  <c r="CM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I154" i="1"/>
  <c r="AE154" i="1"/>
  <c r="AC154" i="1"/>
  <c r="AC152" i="1" s="1"/>
  <c r="AB154" i="1"/>
  <c r="W154" i="1"/>
  <c r="U154" i="1"/>
  <c r="S154" i="1"/>
  <c r="Q154" i="1"/>
  <c r="DO153" i="1"/>
  <c r="DM153" i="1"/>
  <c r="DK153" i="1"/>
  <c r="DI153" i="1"/>
  <c r="DG153" i="1"/>
  <c r="DE153" i="1"/>
  <c r="DC153" i="1"/>
  <c r="CY153" i="1"/>
  <c r="CU153" i="1"/>
  <c r="CS153" i="1"/>
  <c r="CQ153" i="1"/>
  <c r="CO153" i="1"/>
  <c r="CM153" i="1"/>
  <c r="CI153" i="1"/>
  <c r="CG153" i="1"/>
  <c r="CE153" i="1"/>
  <c r="CE152" i="1" s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U152" i="1" s="1"/>
  <c r="AS153" i="1"/>
  <c r="AQ153" i="1"/>
  <c r="AO153" i="1"/>
  <c r="AI153" i="1"/>
  <c r="AE153" i="1"/>
  <c r="AC153" i="1"/>
  <c r="AB153" i="1"/>
  <c r="DR153" i="1" s="1"/>
  <c r="W153" i="1"/>
  <c r="U153" i="1"/>
  <c r="S153" i="1"/>
  <c r="Q153" i="1"/>
  <c r="DQ152" i="1"/>
  <c r="DP152" i="1"/>
  <c r="DN152" i="1"/>
  <c r="DM152" i="1"/>
  <c r="DL152" i="1"/>
  <c r="DJ152" i="1"/>
  <c r="DH152" i="1"/>
  <c r="DF152" i="1"/>
  <c r="DE152" i="1"/>
  <c r="DD152" i="1"/>
  <c r="DB152" i="1"/>
  <c r="CZ152" i="1"/>
  <c r="CX152" i="1"/>
  <c r="CV152" i="1"/>
  <c r="CT152" i="1"/>
  <c r="CR152" i="1"/>
  <c r="CP152" i="1"/>
  <c r="CN152" i="1"/>
  <c r="CL152" i="1"/>
  <c r="CK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M152" i="1"/>
  <c r="AL152" i="1"/>
  <c r="AK152" i="1"/>
  <c r="AJ152" i="1"/>
  <c r="AH152" i="1"/>
  <c r="AG152" i="1"/>
  <c r="AF152" i="1"/>
  <c r="AD152" i="1"/>
  <c r="V152" i="1"/>
  <c r="T152" i="1"/>
  <c r="R152" i="1"/>
  <c r="P152" i="1"/>
  <c r="DO151" i="1"/>
  <c r="DM151" i="1"/>
  <c r="DK151" i="1"/>
  <c r="DI151" i="1"/>
  <c r="DG151" i="1"/>
  <c r="DE151" i="1"/>
  <c r="DC151" i="1"/>
  <c r="CY151" i="1"/>
  <c r="CU151" i="1"/>
  <c r="CS151" i="1"/>
  <c r="CQ151" i="1"/>
  <c r="CO151" i="1"/>
  <c r="CM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I151" i="1"/>
  <c r="AE151" i="1"/>
  <c r="AC151" i="1"/>
  <c r="AB151" i="1"/>
  <c r="W151" i="1"/>
  <c r="T151" i="1"/>
  <c r="S151" i="1"/>
  <c r="Q151" i="1"/>
  <c r="DR150" i="1"/>
  <c r="DV150" i="1" s="1"/>
  <c r="DO150" i="1"/>
  <c r="DM150" i="1"/>
  <c r="DK150" i="1"/>
  <c r="DI150" i="1"/>
  <c r="DE150" i="1"/>
  <c r="DC150" i="1"/>
  <c r="CY150" i="1"/>
  <c r="CU150" i="1"/>
  <c r="CS150" i="1"/>
  <c r="CQ150" i="1"/>
  <c r="CO150" i="1"/>
  <c r="CM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I150" i="1"/>
  <c r="BG150" i="1"/>
  <c r="BE150" i="1"/>
  <c r="BC150" i="1"/>
  <c r="BA150" i="1"/>
  <c r="AY150" i="1"/>
  <c r="AW150" i="1"/>
  <c r="AU150" i="1"/>
  <c r="AS150" i="1"/>
  <c r="AQ150" i="1"/>
  <c r="AO150" i="1"/>
  <c r="AI150" i="1"/>
  <c r="AE150" i="1"/>
  <c r="AC150" i="1"/>
  <c r="AB150" i="1"/>
  <c r="W150" i="1"/>
  <c r="U150" i="1"/>
  <c r="S150" i="1"/>
  <c r="Q150" i="1"/>
  <c r="DO149" i="1"/>
  <c r="DM149" i="1"/>
  <c r="DK149" i="1"/>
  <c r="DI149" i="1"/>
  <c r="DE149" i="1"/>
  <c r="DC149" i="1"/>
  <c r="CY149" i="1"/>
  <c r="CU149" i="1"/>
  <c r="CS149" i="1"/>
  <c r="CQ149" i="1"/>
  <c r="CO149" i="1"/>
  <c r="CM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I149" i="1"/>
  <c r="BG149" i="1"/>
  <c r="BE149" i="1"/>
  <c r="BC149" i="1"/>
  <c r="BA149" i="1"/>
  <c r="AY149" i="1"/>
  <c r="AW149" i="1"/>
  <c r="AU149" i="1"/>
  <c r="AS149" i="1"/>
  <c r="AQ149" i="1"/>
  <c r="AO149" i="1"/>
  <c r="AI149" i="1"/>
  <c r="AE149" i="1"/>
  <c r="AC149" i="1"/>
  <c r="AB149" i="1"/>
  <c r="DR149" i="1" s="1"/>
  <c r="DV149" i="1" s="1"/>
  <c r="W149" i="1"/>
  <c r="U149" i="1"/>
  <c r="S149" i="1"/>
  <c r="Q149" i="1"/>
  <c r="DO148" i="1"/>
  <c r="DM148" i="1"/>
  <c r="DK148" i="1"/>
  <c r="DI148" i="1"/>
  <c r="DG148" i="1"/>
  <c r="DE148" i="1"/>
  <c r="DC148" i="1"/>
  <c r="CY148" i="1"/>
  <c r="CU148" i="1"/>
  <c r="CS148" i="1"/>
  <c r="CQ148" i="1"/>
  <c r="CO148" i="1"/>
  <c r="CM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I148" i="1"/>
  <c r="AE148" i="1"/>
  <c r="AC148" i="1"/>
  <c r="AB148" i="1"/>
  <c r="DR148" i="1" s="1"/>
  <c r="DV148" i="1" s="1"/>
  <c r="W148" i="1"/>
  <c r="U148" i="1"/>
  <c r="S148" i="1"/>
  <c r="Q148" i="1"/>
  <c r="DO147" i="1"/>
  <c r="DM147" i="1"/>
  <c r="DK147" i="1"/>
  <c r="DI147" i="1"/>
  <c r="DG147" i="1"/>
  <c r="DE147" i="1"/>
  <c r="DC147" i="1"/>
  <c r="CY147" i="1"/>
  <c r="CU147" i="1"/>
  <c r="CS147" i="1"/>
  <c r="CQ147" i="1"/>
  <c r="CO147" i="1"/>
  <c r="CM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I147" i="1"/>
  <c r="AE147" i="1"/>
  <c r="AC147" i="1"/>
  <c r="AB147" i="1"/>
  <c r="DR147" i="1" s="1"/>
  <c r="DV147" i="1" s="1"/>
  <c r="W147" i="1"/>
  <c r="U147" i="1"/>
  <c r="S147" i="1"/>
  <c r="Q147" i="1"/>
  <c r="DO146" i="1"/>
  <c r="DN146" i="1"/>
  <c r="DM146" i="1"/>
  <c r="DK146" i="1"/>
  <c r="DI146" i="1"/>
  <c r="DG146" i="1"/>
  <c r="DE146" i="1"/>
  <c r="DC146" i="1"/>
  <c r="CY146" i="1"/>
  <c r="CU146" i="1"/>
  <c r="CS146" i="1"/>
  <c r="CQ146" i="1"/>
  <c r="CO146" i="1"/>
  <c r="CM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I146" i="1"/>
  <c r="AE146" i="1"/>
  <c r="AC146" i="1"/>
  <c r="AB146" i="1"/>
  <c r="DR146" i="1" s="1"/>
  <c r="DV146" i="1" s="1"/>
  <c r="W146" i="1"/>
  <c r="U146" i="1"/>
  <c r="S146" i="1"/>
  <c r="Q146" i="1"/>
  <c r="DN145" i="1"/>
  <c r="DO145" i="1" s="1"/>
  <c r="DM145" i="1"/>
  <c r="DK145" i="1"/>
  <c r="DI145" i="1"/>
  <c r="DG145" i="1"/>
  <c r="DE145" i="1"/>
  <c r="DC145" i="1"/>
  <c r="CY145" i="1"/>
  <c r="CU145" i="1"/>
  <c r="CS145" i="1"/>
  <c r="CQ145" i="1"/>
  <c r="CO145" i="1"/>
  <c r="CM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T145" i="1"/>
  <c r="AS145" i="1"/>
  <c r="AQ145" i="1"/>
  <c r="AI145" i="1"/>
  <c r="AE145" i="1"/>
  <c r="AC145" i="1"/>
  <c r="AB145" i="1"/>
  <c r="DR145" i="1" s="1"/>
  <c r="DV145" i="1" s="1"/>
  <c r="W145" i="1"/>
  <c r="U145" i="1"/>
  <c r="S145" i="1"/>
  <c r="Q145" i="1"/>
  <c r="DN144" i="1"/>
  <c r="DO144" i="1" s="1"/>
  <c r="DL144" i="1"/>
  <c r="DM144" i="1" s="1"/>
  <c r="DK144" i="1"/>
  <c r="DH144" i="1"/>
  <c r="DI144" i="1" s="1"/>
  <c r="DE144" i="1"/>
  <c r="DC144" i="1"/>
  <c r="CY144" i="1"/>
  <c r="CU144" i="1"/>
  <c r="CS144" i="1"/>
  <c r="CQ144" i="1"/>
  <c r="CO144" i="1"/>
  <c r="CM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I144" i="1"/>
  <c r="BG144" i="1"/>
  <c r="BE144" i="1"/>
  <c r="BC144" i="1"/>
  <c r="BA144" i="1"/>
  <c r="AY144" i="1"/>
  <c r="AW144" i="1"/>
  <c r="AU144" i="1"/>
  <c r="AS144" i="1"/>
  <c r="AQ144" i="1"/>
  <c r="AO144" i="1"/>
  <c r="AI144" i="1"/>
  <c r="AE144" i="1"/>
  <c r="AC144" i="1"/>
  <c r="AB144" i="1"/>
  <c r="DR144" i="1" s="1"/>
  <c r="DV144" i="1" s="1"/>
  <c r="W144" i="1"/>
  <c r="U144" i="1"/>
  <c r="S144" i="1"/>
  <c r="Q144" i="1"/>
  <c r="DO143" i="1"/>
  <c r="DM143" i="1"/>
  <c r="DK143" i="1"/>
  <c r="DI143" i="1"/>
  <c r="DG143" i="1"/>
  <c r="DE143" i="1"/>
  <c r="DC143" i="1"/>
  <c r="CY143" i="1"/>
  <c r="CU143" i="1"/>
  <c r="CS143" i="1"/>
  <c r="CQ143" i="1"/>
  <c r="CO143" i="1"/>
  <c r="CM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BA139" i="1" s="1"/>
  <c r="AY143" i="1"/>
  <c r="AW143" i="1"/>
  <c r="AU143" i="1"/>
  <c r="AS143" i="1"/>
  <c r="AQ143" i="1"/>
  <c r="AO143" i="1"/>
  <c r="AO139" i="1" s="1"/>
  <c r="AI143" i="1"/>
  <c r="AE143" i="1"/>
  <c r="AC143" i="1"/>
  <c r="AB143" i="1"/>
  <c r="W143" i="1"/>
  <c r="U143" i="1"/>
  <c r="T143" i="1"/>
  <c r="S143" i="1"/>
  <c r="Q143" i="1"/>
  <c r="DN142" i="1"/>
  <c r="DO142" i="1" s="1"/>
  <c r="DO139" i="1" s="1"/>
  <c r="DM142" i="1"/>
  <c r="DL142" i="1"/>
  <c r="DK142" i="1"/>
  <c r="DH142" i="1"/>
  <c r="DE142" i="1"/>
  <c r="DC142" i="1"/>
  <c r="CY142" i="1"/>
  <c r="CU142" i="1"/>
  <c r="CS142" i="1"/>
  <c r="CQ142" i="1"/>
  <c r="CO142" i="1"/>
  <c r="CM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I142" i="1"/>
  <c r="BG142" i="1"/>
  <c r="BE142" i="1"/>
  <c r="BC142" i="1"/>
  <c r="BA142" i="1"/>
  <c r="AY142" i="1"/>
  <c r="AW142" i="1"/>
  <c r="AU142" i="1"/>
  <c r="AS142" i="1"/>
  <c r="AQ142" i="1"/>
  <c r="AO142" i="1"/>
  <c r="AI142" i="1"/>
  <c r="AE142" i="1"/>
  <c r="AC142" i="1"/>
  <c r="AB142" i="1"/>
  <c r="W142" i="1"/>
  <c r="T142" i="1"/>
  <c r="S142" i="1"/>
  <c r="Q142" i="1"/>
  <c r="DO141" i="1"/>
  <c r="DM141" i="1"/>
  <c r="DK141" i="1"/>
  <c r="DI141" i="1"/>
  <c r="DG141" i="1"/>
  <c r="DE141" i="1"/>
  <c r="DC141" i="1"/>
  <c r="CY141" i="1"/>
  <c r="CU141" i="1"/>
  <c r="CS141" i="1"/>
  <c r="CQ141" i="1"/>
  <c r="CO141" i="1"/>
  <c r="CM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K139" i="1" s="1"/>
  <c r="BI141" i="1"/>
  <c r="BG141" i="1"/>
  <c r="BE141" i="1"/>
  <c r="BC141" i="1"/>
  <c r="BA141" i="1"/>
  <c r="AY141" i="1"/>
  <c r="AW141" i="1"/>
  <c r="AU141" i="1"/>
  <c r="AS141" i="1"/>
  <c r="AQ141" i="1"/>
  <c r="AO141" i="1"/>
  <c r="AI141" i="1"/>
  <c r="AE141" i="1"/>
  <c r="AC141" i="1"/>
  <c r="AB141" i="1"/>
  <c r="DR141" i="1" s="1"/>
  <c r="DV141" i="1" s="1"/>
  <c r="W141" i="1"/>
  <c r="U141" i="1"/>
  <c r="S141" i="1"/>
  <c r="Q141" i="1"/>
  <c r="DO140" i="1"/>
  <c r="DN140" i="1"/>
  <c r="DM140" i="1"/>
  <c r="DK140" i="1"/>
  <c r="DI140" i="1"/>
  <c r="DG140" i="1"/>
  <c r="DE140" i="1"/>
  <c r="DC140" i="1"/>
  <c r="CY140" i="1"/>
  <c r="CU140" i="1"/>
  <c r="CU139" i="1" s="1"/>
  <c r="CS140" i="1"/>
  <c r="CQ140" i="1"/>
  <c r="CO140" i="1"/>
  <c r="CM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I139" i="1" s="1"/>
  <c r="BG140" i="1"/>
  <c r="BE140" i="1"/>
  <c r="BC140" i="1"/>
  <c r="BA140" i="1"/>
  <c r="AY140" i="1"/>
  <c r="AW140" i="1"/>
  <c r="AW139" i="1" s="1"/>
  <c r="AU140" i="1"/>
  <c r="AS140" i="1"/>
  <c r="AQ140" i="1"/>
  <c r="AO140" i="1"/>
  <c r="AI140" i="1"/>
  <c r="AE140" i="1"/>
  <c r="AE139" i="1" s="1"/>
  <c r="AC140" i="1"/>
  <c r="AB140" i="1"/>
  <c r="DR140" i="1" s="1"/>
  <c r="W140" i="1"/>
  <c r="U140" i="1"/>
  <c r="S140" i="1"/>
  <c r="Q140" i="1"/>
  <c r="DQ139" i="1"/>
  <c r="DP139" i="1"/>
  <c r="DJ139" i="1"/>
  <c r="DF139" i="1"/>
  <c r="DD139" i="1"/>
  <c r="DC139" i="1"/>
  <c r="DB139" i="1"/>
  <c r="CZ139" i="1"/>
  <c r="CX139" i="1"/>
  <c r="CV139" i="1"/>
  <c r="CT139" i="1"/>
  <c r="CR139" i="1"/>
  <c r="CP139" i="1"/>
  <c r="CO139" i="1"/>
  <c r="CN139" i="1"/>
  <c r="CL139" i="1"/>
  <c r="CK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R139" i="1"/>
  <c r="AP139" i="1"/>
  <c r="AN139" i="1"/>
  <c r="AM139" i="1"/>
  <c r="AL139" i="1"/>
  <c r="AK139" i="1"/>
  <c r="AJ139" i="1"/>
  <c r="AH139" i="1"/>
  <c r="AG139" i="1"/>
  <c r="AF139" i="1"/>
  <c r="AD139" i="1"/>
  <c r="V139" i="1"/>
  <c r="R139" i="1"/>
  <c r="P139" i="1"/>
  <c r="DO138" i="1"/>
  <c r="DN138" i="1"/>
  <c r="DL138" i="1"/>
  <c r="DM138" i="1" s="1"/>
  <c r="DK138" i="1"/>
  <c r="DI138" i="1"/>
  <c r="DG138" i="1"/>
  <c r="DE138" i="1"/>
  <c r="DC138" i="1"/>
  <c r="CY138" i="1"/>
  <c r="CU138" i="1"/>
  <c r="CS138" i="1"/>
  <c r="CQ138" i="1"/>
  <c r="CO138" i="1"/>
  <c r="CM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P138" i="1"/>
  <c r="AQ138" i="1" s="1"/>
  <c r="AO138" i="1"/>
  <c r="AI138" i="1"/>
  <c r="AE138" i="1"/>
  <c r="AC138" i="1"/>
  <c r="AB138" i="1"/>
  <c r="DR138" i="1" s="1"/>
  <c r="DV138" i="1" s="1"/>
  <c r="W138" i="1"/>
  <c r="U138" i="1"/>
  <c r="S138" i="1"/>
  <c r="Q138" i="1"/>
  <c r="DO137" i="1"/>
  <c r="DM137" i="1"/>
  <c r="DK137" i="1"/>
  <c r="DI137" i="1"/>
  <c r="DG137" i="1"/>
  <c r="DE137" i="1"/>
  <c r="DC137" i="1"/>
  <c r="CY137" i="1"/>
  <c r="CU137" i="1"/>
  <c r="CS137" i="1"/>
  <c r="CQ137" i="1"/>
  <c r="CO137" i="1"/>
  <c r="CM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I137" i="1"/>
  <c r="AE137" i="1"/>
  <c r="AC137" i="1"/>
  <c r="AB137" i="1"/>
  <c r="DR137" i="1" s="1"/>
  <c r="DV137" i="1" s="1"/>
  <c r="W137" i="1"/>
  <c r="U137" i="1"/>
  <c r="S137" i="1"/>
  <c r="Q137" i="1"/>
  <c r="DO136" i="1"/>
  <c r="DM136" i="1"/>
  <c r="DK136" i="1"/>
  <c r="DI136" i="1"/>
  <c r="DG136" i="1"/>
  <c r="DE136" i="1"/>
  <c r="DC136" i="1"/>
  <c r="CY136" i="1"/>
  <c r="CU136" i="1"/>
  <c r="CS136" i="1"/>
  <c r="CQ136" i="1"/>
  <c r="CO136" i="1"/>
  <c r="CM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T136" i="1"/>
  <c r="AU136" i="1" s="1"/>
  <c r="AS136" i="1"/>
  <c r="AQ136" i="1"/>
  <c r="AO136" i="1"/>
  <c r="AI136" i="1"/>
  <c r="AE136" i="1"/>
  <c r="AC136" i="1"/>
  <c r="AB136" i="1"/>
  <c r="W136" i="1"/>
  <c r="U136" i="1"/>
  <c r="S136" i="1"/>
  <c r="Q136" i="1"/>
  <c r="DR135" i="1"/>
  <c r="DV135" i="1" s="1"/>
  <c r="DO135" i="1"/>
  <c r="DM135" i="1"/>
  <c r="DK135" i="1"/>
  <c r="DI135" i="1"/>
  <c r="DG135" i="1"/>
  <c r="DE135" i="1"/>
  <c r="DC135" i="1"/>
  <c r="CY135" i="1"/>
  <c r="CU135" i="1"/>
  <c r="CS135" i="1"/>
  <c r="CQ135" i="1"/>
  <c r="CO135" i="1"/>
  <c r="CM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I135" i="1"/>
  <c r="AE135" i="1"/>
  <c r="AC135" i="1"/>
  <c r="AB135" i="1"/>
  <c r="W135" i="1"/>
  <c r="U135" i="1"/>
  <c r="S135" i="1"/>
  <c r="Q135" i="1"/>
  <c r="DO134" i="1"/>
  <c r="DL134" i="1"/>
  <c r="DK134" i="1"/>
  <c r="DI134" i="1"/>
  <c r="DG134" i="1"/>
  <c r="DE134" i="1"/>
  <c r="DC134" i="1"/>
  <c r="CY134" i="1"/>
  <c r="CU134" i="1"/>
  <c r="CS134" i="1"/>
  <c r="CQ134" i="1"/>
  <c r="CO134" i="1"/>
  <c r="CM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T134" i="1"/>
  <c r="AU134" i="1" s="1"/>
  <c r="AS134" i="1"/>
  <c r="AQ134" i="1"/>
  <c r="AO134" i="1"/>
  <c r="AI134" i="1"/>
  <c r="AE134" i="1"/>
  <c r="AC134" i="1"/>
  <c r="AB134" i="1"/>
  <c r="DR134" i="1" s="1"/>
  <c r="DV134" i="1" s="1"/>
  <c r="W134" i="1"/>
  <c r="U134" i="1"/>
  <c r="S134" i="1"/>
  <c r="Q134" i="1"/>
  <c r="DO133" i="1"/>
  <c r="DM133" i="1"/>
  <c r="DK133" i="1"/>
  <c r="DI133" i="1"/>
  <c r="DG133" i="1"/>
  <c r="DE133" i="1"/>
  <c r="DC133" i="1"/>
  <c r="CY133" i="1"/>
  <c r="CU133" i="1"/>
  <c r="CS133" i="1"/>
  <c r="CQ133" i="1"/>
  <c r="CO133" i="1"/>
  <c r="CM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T133" i="1"/>
  <c r="AU133" i="1" s="1"/>
  <c r="AS133" i="1"/>
  <c r="AQ133" i="1"/>
  <c r="AO133" i="1"/>
  <c r="AI133" i="1"/>
  <c r="AE133" i="1"/>
  <c r="AC133" i="1"/>
  <c r="AB133" i="1"/>
  <c r="W133" i="1"/>
  <c r="U133" i="1"/>
  <c r="T133" i="1"/>
  <c r="S133" i="1"/>
  <c r="Q133" i="1"/>
  <c r="DN132" i="1"/>
  <c r="DO132" i="1" s="1"/>
  <c r="DM132" i="1"/>
  <c r="DK132" i="1"/>
  <c r="DI132" i="1"/>
  <c r="DG132" i="1"/>
  <c r="DE132" i="1"/>
  <c r="DC132" i="1"/>
  <c r="CY132" i="1"/>
  <c r="CU132" i="1"/>
  <c r="CS132" i="1"/>
  <c r="CQ132" i="1"/>
  <c r="CO132" i="1"/>
  <c r="CM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I132" i="1"/>
  <c r="AE132" i="1"/>
  <c r="AC132" i="1"/>
  <c r="AB132" i="1"/>
  <c r="W132" i="1"/>
  <c r="U132" i="1"/>
  <c r="S132" i="1"/>
  <c r="Q132" i="1"/>
  <c r="DO131" i="1"/>
  <c r="DN131" i="1"/>
  <c r="DL131" i="1"/>
  <c r="DM131" i="1" s="1"/>
  <c r="DK131" i="1"/>
  <c r="DJ131" i="1"/>
  <c r="DI131" i="1"/>
  <c r="DG131" i="1"/>
  <c r="DE131" i="1"/>
  <c r="DC131" i="1"/>
  <c r="CY131" i="1"/>
  <c r="CU131" i="1"/>
  <c r="CS131" i="1"/>
  <c r="CQ131" i="1"/>
  <c r="CO131" i="1"/>
  <c r="CM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I131" i="1"/>
  <c r="AE131" i="1"/>
  <c r="AC131" i="1"/>
  <c r="AB131" i="1"/>
  <c r="W131" i="1"/>
  <c r="T131" i="1"/>
  <c r="U131" i="1" s="1"/>
  <c r="S131" i="1"/>
  <c r="Q131" i="1"/>
  <c r="DV130" i="1"/>
  <c r="DO130" i="1"/>
  <c r="DM130" i="1"/>
  <c r="DK130" i="1"/>
  <c r="DI130" i="1"/>
  <c r="DE130" i="1"/>
  <c r="DC130" i="1"/>
  <c r="CY130" i="1"/>
  <c r="CU130" i="1"/>
  <c r="CS130" i="1"/>
  <c r="CQ130" i="1"/>
  <c r="CO130" i="1"/>
  <c r="CM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I130" i="1"/>
  <c r="BG130" i="1"/>
  <c r="BE130" i="1"/>
  <c r="BC130" i="1"/>
  <c r="BA130" i="1"/>
  <c r="AY130" i="1"/>
  <c r="AW130" i="1"/>
  <c r="AU130" i="1"/>
  <c r="AS130" i="1"/>
  <c r="AQ130" i="1"/>
  <c r="AO130" i="1"/>
  <c r="AI130" i="1"/>
  <c r="AE130" i="1"/>
  <c r="AC130" i="1"/>
  <c r="AB130" i="1"/>
  <c r="DR130" i="1" s="1"/>
  <c r="W130" i="1"/>
  <c r="U130" i="1"/>
  <c r="S130" i="1"/>
  <c r="Q130" i="1"/>
  <c r="DO129" i="1"/>
  <c r="DM129" i="1"/>
  <c r="DK129" i="1"/>
  <c r="DI129" i="1"/>
  <c r="DE129" i="1"/>
  <c r="DC129" i="1"/>
  <c r="CY129" i="1"/>
  <c r="CU129" i="1"/>
  <c r="CS129" i="1"/>
  <c r="CQ129" i="1"/>
  <c r="CO129" i="1"/>
  <c r="CM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I129" i="1"/>
  <c r="BG129" i="1"/>
  <c r="BE129" i="1"/>
  <c r="BC129" i="1"/>
  <c r="BA129" i="1"/>
  <c r="AY129" i="1"/>
  <c r="AW129" i="1"/>
  <c r="AU129" i="1"/>
  <c r="AS129" i="1"/>
  <c r="AQ129" i="1"/>
  <c r="AO129" i="1"/>
  <c r="AI129" i="1"/>
  <c r="AE129" i="1"/>
  <c r="AC129" i="1"/>
  <c r="AB129" i="1"/>
  <c r="DR129" i="1" s="1"/>
  <c r="DV129" i="1" s="1"/>
  <c r="W129" i="1"/>
  <c r="U129" i="1"/>
  <c r="S129" i="1"/>
  <c r="DS129" i="1" s="1"/>
  <c r="DW129" i="1" s="1"/>
  <c r="Q129" i="1"/>
  <c r="DN128" i="1"/>
  <c r="DO128" i="1" s="1"/>
  <c r="DM128" i="1"/>
  <c r="DK128" i="1"/>
  <c r="DI128" i="1"/>
  <c r="DG128" i="1"/>
  <c r="DE128" i="1"/>
  <c r="DC128" i="1"/>
  <c r="CY128" i="1"/>
  <c r="CU128" i="1"/>
  <c r="CS128" i="1"/>
  <c r="CQ128" i="1"/>
  <c r="CO128" i="1"/>
  <c r="CM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T128" i="1"/>
  <c r="AU128" i="1" s="1"/>
  <c r="AS128" i="1"/>
  <c r="AQ128" i="1"/>
  <c r="AO128" i="1"/>
  <c r="AI128" i="1"/>
  <c r="AE128" i="1"/>
  <c r="AC128" i="1"/>
  <c r="AB128" i="1"/>
  <c r="W128" i="1"/>
  <c r="T128" i="1"/>
  <c r="S128" i="1"/>
  <c r="Q128" i="1"/>
  <c r="DO127" i="1"/>
  <c r="DM127" i="1"/>
  <c r="DK127" i="1"/>
  <c r="DI127" i="1"/>
  <c r="DG127" i="1"/>
  <c r="DC127" i="1"/>
  <c r="CY127" i="1"/>
  <c r="CU127" i="1"/>
  <c r="CS127" i="1"/>
  <c r="CQ127" i="1"/>
  <c r="CO127" i="1"/>
  <c r="CM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I127" i="1"/>
  <c r="AE127" i="1"/>
  <c r="AC127" i="1"/>
  <c r="AB127" i="1"/>
  <c r="DR127" i="1" s="1"/>
  <c r="DV127" i="1" s="1"/>
  <c r="W127" i="1"/>
  <c r="U127" i="1"/>
  <c r="S127" i="1"/>
  <c r="Q127" i="1"/>
  <c r="DS127" i="1" s="1"/>
  <c r="DW127" i="1" s="1"/>
  <c r="DO126" i="1"/>
  <c r="DM126" i="1"/>
  <c r="DK126" i="1"/>
  <c r="DI126" i="1"/>
  <c r="DG126" i="1"/>
  <c r="DC126" i="1"/>
  <c r="CY126" i="1"/>
  <c r="CU126" i="1"/>
  <c r="CS126" i="1"/>
  <c r="CQ126" i="1"/>
  <c r="CO126" i="1"/>
  <c r="CM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I126" i="1"/>
  <c r="AE126" i="1"/>
  <c r="AC126" i="1"/>
  <c r="AB126" i="1"/>
  <c r="DR126" i="1" s="1"/>
  <c r="DV126" i="1" s="1"/>
  <c r="W126" i="1"/>
  <c r="U126" i="1"/>
  <c r="S126" i="1"/>
  <c r="Q126" i="1"/>
  <c r="DO125" i="1"/>
  <c r="DM125" i="1"/>
  <c r="DK125" i="1"/>
  <c r="DI125" i="1"/>
  <c r="DG125" i="1"/>
  <c r="DE125" i="1"/>
  <c r="DC125" i="1"/>
  <c r="CY125" i="1"/>
  <c r="CU125" i="1"/>
  <c r="CS125" i="1"/>
  <c r="CQ125" i="1"/>
  <c r="CO125" i="1"/>
  <c r="CM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T125" i="1"/>
  <c r="AS125" i="1"/>
  <c r="AQ125" i="1"/>
  <c r="AO125" i="1"/>
  <c r="AI125" i="1"/>
  <c r="AE125" i="1"/>
  <c r="AC125" i="1"/>
  <c r="AB125" i="1"/>
  <c r="W125" i="1"/>
  <c r="U125" i="1"/>
  <c r="S125" i="1"/>
  <c r="Q125" i="1"/>
  <c r="DS125" i="1" s="1"/>
  <c r="DW125" i="1" s="1"/>
  <c r="DR124" i="1"/>
  <c r="DV124" i="1" s="1"/>
  <c r="DO124" i="1"/>
  <c r="DM124" i="1"/>
  <c r="DK124" i="1"/>
  <c r="DI124" i="1"/>
  <c r="DE124" i="1"/>
  <c r="DC124" i="1"/>
  <c r="CY124" i="1"/>
  <c r="CU124" i="1"/>
  <c r="CS124" i="1"/>
  <c r="CQ124" i="1"/>
  <c r="CO124" i="1"/>
  <c r="CM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I124" i="1"/>
  <c r="BG124" i="1"/>
  <c r="BE124" i="1"/>
  <c r="BC124" i="1"/>
  <c r="BA124" i="1"/>
  <c r="AY124" i="1"/>
  <c r="AW124" i="1"/>
  <c r="AU124" i="1"/>
  <c r="AS124" i="1"/>
  <c r="AQ124" i="1"/>
  <c r="AO124" i="1"/>
  <c r="AI124" i="1"/>
  <c r="AE124" i="1"/>
  <c r="AC124" i="1"/>
  <c r="AB124" i="1"/>
  <c r="W124" i="1"/>
  <c r="U124" i="1"/>
  <c r="S124" i="1"/>
  <c r="Q124" i="1"/>
  <c r="DO123" i="1"/>
  <c r="DM123" i="1"/>
  <c r="DK123" i="1"/>
  <c r="DI123" i="1"/>
  <c r="DG123" i="1"/>
  <c r="DE123" i="1"/>
  <c r="DC123" i="1"/>
  <c r="CY123" i="1"/>
  <c r="CU123" i="1"/>
  <c r="CS123" i="1"/>
  <c r="CQ123" i="1"/>
  <c r="CO123" i="1"/>
  <c r="CM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T123" i="1"/>
  <c r="AU123" i="1" s="1"/>
  <c r="AS123" i="1"/>
  <c r="AQ123" i="1"/>
  <c r="AO123" i="1"/>
  <c r="AI123" i="1"/>
  <c r="AE123" i="1"/>
  <c r="AC123" i="1"/>
  <c r="AB123" i="1"/>
  <c r="W123" i="1"/>
  <c r="U123" i="1"/>
  <c r="S123" i="1"/>
  <c r="Q123" i="1"/>
  <c r="DO122" i="1"/>
  <c r="DM122" i="1"/>
  <c r="DK122" i="1"/>
  <c r="DI122" i="1"/>
  <c r="DG122" i="1"/>
  <c r="DE122" i="1"/>
  <c r="DC122" i="1"/>
  <c r="CY122" i="1"/>
  <c r="CU122" i="1"/>
  <c r="CS122" i="1"/>
  <c r="CQ122" i="1"/>
  <c r="CO122" i="1"/>
  <c r="CM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I122" i="1"/>
  <c r="AE122" i="1"/>
  <c r="AC122" i="1"/>
  <c r="AB122" i="1"/>
  <c r="DR122" i="1" s="1"/>
  <c r="DV122" i="1" s="1"/>
  <c r="W122" i="1"/>
  <c r="U122" i="1"/>
  <c r="S122" i="1"/>
  <c r="Q122" i="1"/>
  <c r="DV121" i="1"/>
  <c r="DN121" i="1"/>
  <c r="DO121" i="1" s="1"/>
  <c r="DM121" i="1"/>
  <c r="DK121" i="1"/>
  <c r="DK119" i="1" s="1"/>
  <c r="DI121" i="1"/>
  <c r="DG121" i="1"/>
  <c r="DE121" i="1"/>
  <c r="DC121" i="1"/>
  <c r="CY121" i="1"/>
  <c r="CU121" i="1"/>
  <c r="CS121" i="1"/>
  <c r="CQ121" i="1"/>
  <c r="CO121" i="1"/>
  <c r="CM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I121" i="1"/>
  <c r="AE121" i="1"/>
  <c r="AC121" i="1"/>
  <c r="AB121" i="1"/>
  <c r="DR121" i="1" s="1"/>
  <c r="W121" i="1"/>
  <c r="U121" i="1"/>
  <c r="S121" i="1"/>
  <c r="Q121" i="1"/>
  <c r="DN120" i="1"/>
  <c r="DM120" i="1"/>
  <c r="DK120" i="1"/>
  <c r="DI120" i="1"/>
  <c r="DG120" i="1"/>
  <c r="DG119" i="1" s="1"/>
  <c r="DE120" i="1"/>
  <c r="DC120" i="1"/>
  <c r="CY120" i="1"/>
  <c r="CU120" i="1"/>
  <c r="CS120" i="1"/>
  <c r="CQ120" i="1"/>
  <c r="CO120" i="1"/>
  <c r="CM120" i="1"/>
  <c r="CI120" i="1"/>
  <c r="CG120" i="1"/>
  <c r="CE120" i="1"/>
  <c r="CC120" i="1"/>
  <c r="CA120" i="1"/>
  <c r="CA119" i="1" s="1"/>
  <c r="BY120" i="1"/>
  <c r="BW120" i="1"/>
  <c r="BU120" i="1"/>
  <c r="BS120" i="1"/>
  <c r="BQ120" i="1"/>
  <c r="BO120" i="1"/>
  <c r="BO119" i="1" s="1"/>
  <c r="BM120" i="1"/>
  <c r="BK120" i="1"/>
  <c r="BI120" i="1"/>
  <c r="BG120" i="1"/>
  <c r="BE120" i="1"/>
  <c r="BC120" i="1"/>
  <c r="BC119" i="1" s="1"/>
  <c r="BA120" i="1"/>
  <c r="AY120" i="1"/>
  <c r="AW120" i="1"/>
  <c r="AT120" i="1"/>
  <c r="AU120" i="1" s="1"/>
  <c r="AS120" i="1"/>
  <c r="AQ120" i="1"/>
  <c r="AO120" i="1"/>
  <c r="AI120" i="1"/>
  <c r="AE120" i="1"/>
  <c r="AC120" i="1"/>
  <c r="AB120" i="1"/>
  <c r="W120" i="1"/>
  <c r="U120" i="1"/>
  <c r="S120" i="1"/>
  <c r="Q120" i="1"/>
  <c r="DQ119" i="1"/>
  <c r="DP119" i="1"/>
  <c r="DJ119" i="1"/>
  <c r="DH119" i="1"/>
  <c r="DF119" i="1"/>
  <c r="DD119" i="1"/>
  <c r="DB119" i="1"/>
  <c r="CZ119" i="1"/>
  <c r="CX119" i="1"/>
  <c r="CV119" i="1"/>
  <c r="CT119" i="1"/>
  <c r="CR119" i="1"/>
  <c r="CP119" i="1"/>
  <c r="CN119" i="1"/>
  <c r="CL119" i="1"/>
  <c r="CK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R119" i="1"/>
  <c r="AN119" i="1"/>
  <c r="AM119" i="1"/>
  <c r="AL119" i="1"/>
  <c r="AK119" i="1"/>
  <c r="AJ119" i="1"/>
  <c r="AH119" i="1"/>
  <c r="AG119" i="1"/>
  <c r="AF119" i="1"/>
  <c r="AD119" i="1"/>
  <c r="V119" i="1"/>
  <c r="R119" i="1"/>
  <c r="P119" i="1"/>
  <c r="DO118" i="1"/>
  <c r="DM118" i="1"/>
  <c r="DK118" i="1"/>
  <c r="DI118" i="1"/>
  <c r="DG118" i="1"/>
  <c r="DE118" i="1"/>
  <c r="DE115" i="1" s="1"/>
  <c r="DC118" i="1"/>
  <c r="CY118" i="1"/>
  <c r="CU118" i="1"/>
  <c r="CS118" i="1"/>
  <c r="CS115" i="1" s="1"/>
  <c r="CQ118" i="1"/>
  <c r="CO118" i="1"/>
  <c r="CO115" i="1" s="1"/>
  <c r="CM118" i="1"/>
  <c r="CI118" i="1"/>
  <c r="CG118" i="1"/>
  <c r="CE118" i="1"/>
  <c r="CC118" i="1"/>
  <c r="CA118" i="1"/>
  <c r="BY118" i="1"/>
  <c r="BW118" i="1"/>
  <c r="BU118" i="1"/>
  <c r="BS118" i="1"/>
  <c r="BQ118" i="1"/>
  <c r="BO118" i="1"/>
  <c r="BO115" i="1" s="1"/>
  <c r="BM118" i="1"/>
  <c r="BK118" i="1"/>
  <c r="BI118" i="1"/>
  <c r="BG118" i="1"/>
  <c r="BE118" i="1"/>
  <c r="BC118" i="1"/>
  <c r="BA118" i="1"/>
  <c r="AY118" i="1"/>
  <c r="AU118" i="1"/>
  <c r="AS118" i="1"/>
  <c r="AQ118" i="1"/>
  <c r="AO118" i="1"/>
  <c r="AI118" i="1"/>
  <c r="AE118" i="1"/>
  <c r="AC118" i="1"/>
  <c r="AB118" i="1"/>
  <c r="DR118" i="1" s="1"/>
  <c r="DV118" i="1" s="1"/>
  <c r="W118" i="1"/>
  <c r="U118" i="1"/>
  <c r="S118" i="1"/>
  <c r="Q118" i="1"/>
  <c r="DN117" i="1"/>
  <c r="DO117" i="1" s="1"/>
  <c r="DM117" i="1"/>
  <c r="DK117" i="1"/>
  <c r="DI117" i="1"/>
  <c r="DG117" i="1"/>
  <c r="DE117" i="1"/>
  <c r="DC117" i="1"/>
  <c r="CY117" i="1"/>
  <c r="CU117" i="1"/>
  <c r="CS117" i="1"/>
  <c r="CQ117" i="1"/>
  <c r="CO117" i="1"/>
  <c r="CM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U117" i="1"/>
  <c r="AS117" i="1"/>
  <c r="AP117" i="1"/>
  <c r="AQ117" i="1" s="1"/>
  <c r="AO117" i="1"/>
  <c r="AI117" i="1"/>
  <c r="AE117" i="1"/>
  <c r="AC117" i="1"/>
  <c r="AB117" i="1"/>
  <c r="DR117" i="1" s="1"/>
  <c r="DV117" i="1" s="1"/>
  <c r="W117" i="1"/>
  <c r="U117" i="1"/>
  <c r="S117" i="1"/>
  <c r="Q117" i="1"/>
  <c r="DN116" i="1"/>
  <c r="DM116" i="1"/>
  <c r="DK116" i="1"/>
  <c r="DI116" i="1"/>
  <c r="DE116" i="1"/>
  <c r="DC116" i="1"/>
  <c r="CY116" i="1"/>
  <c r="CU116" i="1"/>
  <c r="CS116" i="1"/>
  <c r="CQ116" i="1"/>
  <c r="CQ115" i="1" s="1"/>
  <c r="CO116" i="1"/>
  <c r="CM116" i="1"/>
  <c r="CI116" i="1"/>
  <c r="CG116" i="1"/>
  <c r="CE116" i="1"/>
  <c r="CC116" i="1"/>
  <c r="CC115" i="1" s="1"/>
  <c r="CA116" i="1"/>
  <c r="BY116" i="1"/>
  <c r="BW116" i="1"/>
  <c r="BU116" i="1"/>
  <c r="BS116" i="1"/>
  <c r="BQ116" i="1"/>
  <c r="BQ115" i="1" s="1"/>
  <c r="BO116" i="1"/>
  <c r="BM116" i="1"/>
  <c r="BI116" i="1"/>
  <c r="BG116" i="1"/>
  <c r="BE116" i="1"/>
  <c r="BC116" i="1"/>
  <c r="BC115" i="1" s="1"/>
  <c r="BA116" i="1"/>
  <c r="AY116" i="1"/>
  <c r="AU116" i="1"/>
  <c r="AS116" i="1"/>
  <c r="AP116" i="1"/>
  <c r="AQ116" i="1" s="1"/>
  <c r="AO116" i="1"/>
  <c r="AO115" i="1" s="1"/>
  <c r="AI116" i="1"/>
  <c r="AE116" i="1"/>
  <c r="AC116" i="1"/>
  <c r="AB116" i="1"/>
  <c r="W116" i="1"/>
  <c r="U116" i="1"/>
  <c r="U115" i="1" s="1"/>
  <c r="S116" i="1"/>
  <c r="Q116" i="1"/>
  <c r="Q115" i="1" s="1"/>
  <c r="DQ115" i="1"/>
  <c r="DP115" i="1"/>
  <c r="DL115" i="1"/>
  <c r="DJ115" i="1"/>
  <c r="DH115" i="1"/>
  <c r="DG115" i="1"/>
  <c r="DF115" i="1"/>
  <c r="DD115" i="1"/>
  <c r="DB115" i="1"/>
  <c r="CZ115" i="1"/>
  <c r="CX115" i="1"/>
  <c r="CV115" i="1"/>
  <c r="CT115" i="1"/>
  <c r="CR115" i="1"/>
  <c r="CP115" i="1"/>
  <c r="CN115" i="1"/>
  <c r="CL115" i="1"/>
  <c r="CK115" i="1"/>
  <c r="CJ115" i="1"/>
  <c r="CH115" i="1"/>
  <c r="CF115" i="1"/>
  <c r="CD115" i="1"/>
  <c r="CB115" i="1"/>
  <c r="CA115" i="1"/>
  <c r="BZ115" i="1"/>
  <c r="BX115" i="1"/>
  <c r="BV115" i="1"/>
  <c r="BT115" i="1"/>
  <c r="BR115" i="1"/>
  <c r="BP115" i="1"/>
  <c r="BN115" i="1"/>
  <c r="BM115" i="1"/>
  <c r="BL115" i="1"/>
  <c r="BJ115" i="1"/>
  <c r="BH115" i="1"/>
  <c r="BF115" i="1"/>
  <c r="BE115" i="1"/>
  <c r="BD115" i="1"/>
  <c r="BB115" i="1"/>
  <c r="AZ115" i="1"/>
  <c r="AX115" i="1"/>
  <c r="AW115" i="1"/>
  <c r="AV115" i="1"/>
  <c r="AT115" i="1"/>
  <c r="AR115" i="1"/>
  <c r="AN115" i="1"/>
  <c r="AM115" i="1"/>
  <c r="AL115" i="1"/>
  <c r="AK115" i="1"/>
  <c r="AJ115" i="1"/>
  <c r="AH115" i="1"/>
  <c r="AG115" i="1"/>
  <c r="AF115" i="1"/>
  <c r="AE115" i="1"/>
  <c r="AD115" i="1"/>
  <c r="V115" i="1"/>
  <c r="T115" i="1"/>
  <c r="R115" i="1"/>
  <c r="P115" i="1"/>
  <c r="DR114" i="1"/>
  <c r="DV114" i="1" s="1"/>
  <c r="DO114" i="1"/>
  <c r="DM114" i="1"/>
  <c r="DK114" i="1"/>
  <c r="DI114" i="1"/>
  <c r="DG114" i="1"/>
  <c r="DC114" i="1"/>
  <c r="CY114" i="1"/>
  <c r="CU114" i="1"/>
  <c r="CS114" i="1"/>
  <c r="CQ114" i="1"/>
  <c r="CO114" i="1"/>
  <c r="CM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I114" i="1"/>
  <c r="AE114" i="1"/>
  <c r="AC114" i="1"/>
  <c r="AB114" i="1"/>
  <c r="W114" i="1"/>
  <c r="U114" i="1"/>
  <c r="S114" i="1"/>
  <c r="Q114" i="1"/>
  <c r="DR113" i="1"/>
  <c r="DV113" i="1" s="1"/>
  <c r="DO113" i="1"/>
  <c r="DM113" i="1"/>
  <c r="DK113" i="1"/>
  <c r="DI113" i="1"/>
  <c r="DG113" i="1"/>
  <c r="DC113" i="1"/>
  <c r="CY113" i="1"/>
  <c r="CU113" i="1"/>
  <c r="CS113" i="1"/>
  <c r="CQ113" i="1"/>
  <c r="CO113" i="1"/>
  <c r="CM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I113" i="1"/>
  <c r="AE113" i="1"/>
  <c r="AC113" i="1"/>
  <c r="AB113" i="1"/>
  <c r="W113" i="1"/>
  <c r="U113" i="1"/>
  <c r="S113" i="1"/>
  <c r="Q113" i="1"/>
  <c r="DR112" i="1"/>
  <c r="DV112" i="1" s="1"/>
  <c r="DO112" i="1"/>
  <c r="DM112" i="1"/>
  <c r="DK112" i="1"/>
  <c r="DI112" i="1"/>
  <c r="DG112" i="1"/>
  <c r="DC112" i="1"/>
  <c r="CY112" i="1"/>
  <c r="CU112" i="1"/>
  <c r="CS112" i="1"/>
  <c r="CQ112" i="1"/>
  <c r="CO112" i="1"/>
  <c r="CM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I112" i="1"/>
  <c r="AE112" i="1"/>
  <c r="AC112" i="1"/>
  <c r="AB112" i="1"/>
  <c r="W112" i="1"/>
  <c r="U112" i="1"/>
  <c r="S112" i="1"/>
  <c r="Q112" i="1"/>
  <c r="DO111" i="1"/>
  <c r="DM111" i="1"/>
  <c r="DK111" i="1"/>
  <c r="DI111" i="1"/>
  <c r="DG111" i="1"/>
  <c r="DE111" i="1"/>
  <c r="DC111" i="1"/>
  <c r="CY111" i="1"/>
  <c r="CU111" i="1"/>
  <c r="CS111" i="1"/>
  <c r="CQ111" i="1"/>
  <c r="CO111" i="1"/>
  <c r="CM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I111" i="1"/>
  <c r="AE111" i="1"/>
  <c r="AC111" i="1"/>
  <c r="AB111" i="1"/>
  <c r="DR111" i="1" s="1"/>
  <c r="DV111" i="1" s="1"/>
  <c r="W111" i="1"/>
  <c r="U111" i="1"/>
  <c r="S111" i="1"/>
  <c r="Q111" i="1"/>
  <c r="DO110" i="1"/>
  <c r="DM110" i="1"/>
  <c r="DK110" i="1"/>
  <c r="DI110" i="1"/>
  <c r="DI105" i="1" s="1"/>
  <c r="DG110" i="1"/>
  <c r="DE110" i="1"/>
  <c r="DC110" i="1"/>
  <c r="CY110" i="1"/>
  <c r="CU110" i="1"/>
  <c r="CS110" i="1"/>
  <c r="CS105" i="1" s="1"/>
  <c r="CQ110" i="1"/>
  <c r="CO110" i="1"/>
  <c r="CM110" i="1"/>
  <c r="CI110" i="1"/>
  <c r="CG110" i="1"/>
  <c r="CE110" i="1"/>
  <c r="CE105" i="1" s="1"/>
  <c r="CC110" i="1"/>
  <c r="CA110" i="1"/>
  <c r="BY110" i="1"/>
  <c r="BW110" i="1"/>
  <c r="BU110" i="1"/>
  <c r="BS110" i="1"/>
  <c r="BS105" i="1" s="1"/>
  <c r="BQ110" i="1"/>
  <c r="BO110" i="1"/>
  <c r="BM110" i="1"/>
  <c r="BK110" i="1"/>
  <c r="BI110" i="1"/>
  <c r="BG110" i="1"/>
  <c r="BG105" i="1" s="1"/>
  <c r="BE110" i="1"/>
  <c r="BC110" i="1"/>
  <c r="BA110" i="1"/>
  <c r="AY110" i="1"/>
  <c r="AW110" i="1"/>
  <c r="AU110" i="1"/>
  <c r="AU105" i="1" s="1"/>
  <c r="AS110" i="1"/>
  <c r="AP110" i="1"/>
  <c r="AO110" i="1"/>
  <c r="AI110" i="1"/>
  <c r="AE110" i="1"/>
  <c r="AC110" i="1"/>
  <c r="AB110" i="1"/>
  <c r="W110" i="1"/>
  <c r="U110" i="1"/>
  <c r="S110" i="1"/>
  <c r="Q110" i="1"/>
  <c r="DQ109" i="1"/>
  <c r="DO109" i="1"/>
  <c r="DM109" i="1"/>
  <c r="DK109" i="1"/>
  <c r="DI109" i="1"/>
  <c r="DG109" i="1"/>
  <c r="DE109" i="1"/>
  <c r="DC109" i="1"/>
  <c r="CY109" i="1"/>
  <c r="CU109" i="1"/>
  <c r="CS109" i="1"/>
  <c r="CQ109" i="1"/>
  <c r="CO109" i="1"/>
  <c r="CM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I109" i="1"/>
  <c r="AE109" i="1"/>
  <c r="AC109" i="1"/>
  <c r="AB109" i="1"/>
  <c r="DR109" i="1" s="1"/>
  <c r="DV109" i="1" s="1"/>
  <c r="W109" i="1"/>
  <c r="U109" i="1"/>
  <c r="S109" i="1"/>
  <c r="Q109" i="1"/>
  <c r="DR108" i="1"/>
  <c r="DV108" i="1" s="1"/>
  <c r="DO108" i="1"/>
  <c r="DM108" i="1"/>
  <c r="DK108" i="1"/>
  <c r="DI108" i="1"/>
  <c r="DG108" i="1"/>
  <c r="DE108" i="1"/>
  <c r="DC108" i="1"/>
  <c r="CY108" i="1"/>
  <c r="CU108" i="1"/>
  <c r="CS108" i="1"/>
  <c r="CQ108" i="1"/>
  <c r="CO108" i="1"/>
  <c r="CM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I108" i="1"/>
  <c r="AE108" i="1"/>
  <c r="AC108" i="1"/>
  <c r="AC105" i="1" s="1"/>
  <c r="AB108" i="1"/>
  <c r="W108" i="1"/>
  <c r="U108" i="1"/>
  <c r="S108" i="1"/>
  <c r="Q108" i="1"/>
  <c r="DO107" i="1"/>
  <c r="DM107" i="1"/>
  <c r="DK107" i="1"/>
  <c r="DI107" i="1"/>
  <c r="DG107" i="1"/>
  <c r="DE107" i="1"/>
  <c r="DE105" i="1" s="1"/>
  <c r="DC107" i="1"/>
  <c r="CY107" i="1"/>
  <c r="CU107" i="1"/>
  <c r="CU105" i="1" s="1"/>
  <c r="CS107" i="1"/>
  <c r="CQ107" i="1"/>
  <c r="CO107" i="1"/>
  <c r="CM107" i="1"/>
  <c r="CI107" i="1"/>
  <c r="CG107" i="1"/>
  <c r="CG105" i="1" s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W105" i="1" s="1"/>
  <c r="AU107" i="1"/>
  <c r="AS107" i="1"/>
  <c r="AQ107" i="1"/>
  <c r="AO107" i="1"/>
  <c r="AI107" i="1"/>
  <c r="AE107" i="1"/>
  <c r="AC107" i="1"/>
  <c r="AB107" i="1"/>
  <c r="DR107" i="1" s="1"/>
  <c r="DV107" i="1" s="1"/>
  <c r="W107" i="1"/>
  <c r="DS107" i="1" s="1"/>
  <c r="DW107" i="1" s="1"/>
  <c r="U107" i="1"/>
  <c r="S107" i="1"/>
  <c r="Q107" i="1"/>
  <c r="DO106" i="1"/>
  <c r="DL106" i="1"/>
  <c r="DK106" i="1"/>
  <c r="DJ106" i="1"/>
  <c r="DI106" i="1"/>
  <c r="DG106" i="1"/>
  <c r="DE106" i="1"/>
  <c r="DC106" i="1"/>
  <c r="CY106" i="1"/>
  <c r="CY105" i="1" s="1"/>
  <c r="CU106" i="1"/>
  <c r="CS106" i="1"/>
  <c r="CQ106" i="1"/>
  <c r="CO106" i="1"/>
  <c r="CM106" i="1"/>
  <c r="CI106" i="1"/>
  <c r="CI105" i="1" s="1"/>
  <c r="CG106" i="1"/>
  <c r="CE106" i="1"/>
  <c r="CC106" i="1"/>
  <c r="CA106" i="1"/>
  <c r="BY106" i="1"/>
  <c r="BY105" i="1" s="1"/>
  <c r="BW106" i="1"/>
  <c r="BW105" i="1" s="1"/>
  <c r="BU106" i="1"/>
  <c r="BS106" i="1"/>
  <c r="BQ106" i="1"/>
  <c r="BO106" i="1"/>
  <c r="BM106" i="1"/>
  <c r="BM105" i="1" s="1"/>
  <c r="BK106" i="1"/>
  <c r="BK105" i="1" s="1"/>
  <c r="BI106" i="1"/>
  <c r="BG106" i="1"/>
  <c r="BE106" i="1"/>
  <c r="BC106" i="1"/>
  <c r="BA106" i="1"/>
  <c r="BA105" i="1" s="1"/>
  <c r="AY106" i="1"/>
  <c r="AY105" i="1" s="1"/>
  <c r="AW106" i="1"/>
  <c r="AU106" i="1"/>
  <c r="AS106" i="1"/>
  <c r="AQ106" i="1"/>
  <c r="AO106" i="1"/>
  <c r="AO105" i="1" s="1"/>
  <c r="AI106" i="1"/>
  <c r="AI105" i="1" s="1"/>
  <c r="AE106" i="1"/>
  <c r="AC106" i="1"/>
  <c r="AB106" i="1"/>
  <c r="W106" i="1"/>
  <c r="U106" i="1"/>
  <c r="S106" i="1"/>
  <c r="S105" i="1" s="1"/>
  <c r="Q106" i="1"/>
  <c r="DQ105" i="1"/>
  <c r="DP105" i="1"/>
  <c r="DN105" i="1"/>
  <c r="DJ105" i="1"/>
  <c r="DH105" i="1"/>
  <c r="DF105" i="1"/>
  <c r="DD105" i="1"/>
  <c r="DB105" i="1"/>
  <c r="CZ105" i="1"/>
  <c r="CX105" i="1"/>
  <c r="CV105" i="1"/>
  <c r="CT105" i="1"/>
  <c r="CR105" i="1"/>
  <c r="CP105" i="1"/>
  <c r="CN105" i="1"/>
  <c r="CL105" i="1"/>
  <c r="CK105" i="1"/>
  <c r="CJ105" i="1"/>
  <c r="CH105" i="1"/>
  <c r="CF105" i="1"/>
  <c r="CD105" i="1"/>
  <c r="CB105" i="1"/>
  <c r="BZ105" i="1"/>
  <c r="BX105" i="1"/>
  <c r="BV105" i="1"/>
  <c r="BU105" i="1"/>
  <c r="BT105" i="1"/>
  <c r="BR105" i="1"/>
  <c r="BP105" i="1"/>
  <c r="BN105" i="1"/>
  <c r="BL105" i="1"/>
  <c r="BJ105" i="1"/>
  <c r="BI105" i="1"/>
  <c r="BH105" i="1"/>
  <c r="BF105" i="1"/>
  <c r="BD105" i="1"/>
  <c r="BB105" i="1"/>
  <c r="AZ105" i="1"/>
  <c r="AX105" i="1"/>
  <c r="AV105" i="1"/>
  <c r="AT105" i="1"/>
  <c r="AR105" i="1"/>
  <c r="AN105" i="1"/>
  <c r="AM105" i="1"/>
  <c r="AL105" i="1"/>
  <c r="AK105" i="1"/>
  <c r="AJ105" i="1"/>
  <c r="AH105" i="1"/>
  <c r="AG105" i="1"/>
  <c r="AF105" i="1"/>
  <c r="AD105" i="1"/>
  <c r="V105" i="1"/>
  <c r="T105" i="1"/>
  <c r="R105" i="1"/>
  <c r="P105" i="1"/>
  <c r="DO104" i="1"/>
  <c r="DM104" i="1"/>
  <c r="DC104" i="1"/>
  <c r="CO104" i="1"/>
  <c r="CI104" i="1"/>
  <c r="CE104" i="1"/>
  <c r="CC104" i="1"/>
  <c r="BY104" i="1"/>
  <c r="AS104" i="1"/>
  <c r="AQ104" i="1"/>
  <c r="AC104" i="1"/>
  <c r="AB104" i="1"/>
  <c r="DR104" i="1" s="1"/>
  <c r="DV104" i="1" s="1"/>
  <c r="W104" i="1"/>
  <c r="U104" i="1"/>
  <c r="Q104" i="1"/>
  <c r="DV103" i="1"/>
  <c r="DO103" i="1"/>
  <c r="DM103" i="1"/>
  <c r="DK103" i="1"/>
  <c r="DI103" i="1"/>
  <c r="DC103" i="1"/>
  <c r="CY103" i="1"/>
  <c r="CU103" i="1"/>
  <c r="CS103" i="1"/>
  <c r="CQ103" i="1"/>
  <c r="CO103" i="1"/>
  <c r="CI103" i="1"/>
  <c r="CE103" i="1"/>
  <c r="CC103" i="1"/>
  <c r="CA103" i="1"/>
  <c r="BY103" i="1"/>
  <c r="BW103" i="1"/>
  <c r="BU103" i="1"/>
  <c r="BO103" i="1"/>
  <c r="AU103" i="1"/>
  <c r="AP103" i="1"/>
  <c r="AQ103" i="1" s="1"/>
  <c r="AC103" i="1"/>
  <c r="AB103" i="1"/>
  <c r="DR103" i="1" s="1"/>
  <c r="Q103" i="1"/>
  <c r="DS103" i="1" s="1"/>
  <c r="DW103" i="1" s="1"/>
  <c r="DO102" i="1"/>
  <c r="DM102" i="1"/>
  <c r="DK102" i="1"/>
  <c r="DI102" i="1"/>
  <c r="DC102" i="1"/>
  <c r="CY102" i="1"/>
  <c r="CU102" i="1"/>
  <c r="CS102" i="1"/>
  <c r="CQ102" i="1"/>
  <c r="CO102" i="1"/>
  <c r="CI102" i="1"/>
  <c r="CE102" i="1"/>
  <c r="CC102" i="1"/>
  <c r="CA102" i="1"/>
  <c r="BY102" i="1"/>
  <c r="BW102" i="1"/>
  <c r="BU102" i="1"/>
  <c r="BO102" i="1"/>
  <c r="AU102" i="1"/>
  <c r="AQ102" i="1"/>
  <c r="AC102" i="1"/>
  <c r="AB102" i="1"/>
  <c r="DR102" i="1" s="1"/>
  <c r="DV102" i="1" s="1"/>
  <c r="U102" i="1"/>
  <c r="S102" i="1"/>
  <c r="Q102" i="1"/>
  <c r="DO101" i="1"/>
  <c r="DM101" i="1"/>
  <c r="DK101" i="1"/>
  <c r="DI101" i="1"/>
  <c r="DC101" i="1"/>
  <c r="CY101" i="1"/>
  <c r="CU101" i="1"/>
  <c r="CS101" i="1"/>
  <c r="CQ101" i="1"/>
  <c r="CO101" i="1"/>
  <c r="CI101" i="1"/>
  <c r="CE101" i="1"/>
  <c r="CC101" i="1"/>
  <c r="CA101" i="1"/>
  <c r="BY101" i="1"/>
  <c r="BW101" i="1"/>
  <c r="BU101" i="1"/>
  <c r="BO101" i="1"/>
  <c r="AU101" i="1"/>
  <c r="AQ101" i="1"/>
  <c r="AC101" i="1"/>
  <c r="AB101" i="1"/>
  <c r="DR101" i="1" s="1"/>
  <c r="DV101" i="1" s="1"/>
  <c r="U101" i="1"/>
  <c r="S101" i="1"/>
  <c r="Q101" i="1"/>
  <c r="DR100" i="1"/>
  <c r="DV100" i="1" s="1"/>
  <c r="DO100" i="1"/>
  <c r="DM100" i="1"/>
  <c r="DK100" i="1"/>
  <c r="DI100" i="1"/>
  <c r="DC100" i="1"/>
  <c r="CY100" i="1"/>
  <c r="CU100" i="1"/>
  <c r="CS100" i="1"/>
  <c r="CQ100" i="1"/>
  <c r="CO100" i="1"/>
  <c r="CI100" i="1"/>
  <c r="CE100" i="1"/>
  <c r="CC100" i="1"/>
  <c r="CA100" i="1"/>
  <c r="BY100" i="1"/>
  <c r="BW100" i="1"/>
  <c r="BU100" i="1"/>
  <c r="BO100" i="1"/>
  <c r="AU100" i="1"/>
  <c r="AQ100" i="1"/>
  <c r="AC100" i="1"/>
  <c r="AB100" i="1"/>
  <c r="U100" i="1"/>
  <c r="Q100" i="1"/>
  <c r="DR99" i="1"/>
  <c r="DV99" i="1" s="1"/>
  <c r="DO99" i="1"/>
  <c r="DM99" i="1"/>
  <c r="DK99" i="1"/>
  <c r="DI99" i="1"/>
  <c r="DG99" i="1"/>
  <c r="DC99" i="1"/>
  <c r="CY99" i="1"/>
  <c r="CU99" i="1"/>
  <c r="CS99" i="1"/>
  <c r="CQ99" i="1"/>
  <c r="CO99" i="1"/>
  <c r="CI99" i="1"/>
  <c r="CE99" i="1"/>
  <c r="CC99" i="1"/>
  <c r="CA99" i="1"/>
  <c r="BY99" i="1"/>
  <c r="BW99" i="1"/>
  <c r="BU99" i="1"/>
  <c r="BO99" i="1"/>
  <c r="BM99" i="1"/>
  <c r="AU99" i="1"/>
  <c r="AS99" i="1"/>
  <c r="AQ99" i="1"/>
  <c r="AC99" i="1"/>
  <c r="AB99" i="1"/>
  <c r="W99" i="1"/>
  <c r="U99" i="1"/>
  <c r="S99" i="1"/>
  <c r="Q99" i="1"/>
  <c r="DO98" i="1"/>
  <c r="DM98" i="1"/>
  <c r="DK98" i="1"/>
  <c r="DI98" i="1"/>
  <c r="DG98" i="1"/>
  <c r="DC98" i="1"/>
  <c r="CY98" i="1"/>
  <c r="CU98" i="1"/>
  <c r="CS98" i="1"/>
  <c r="CQ98" i="1"/>
  <c r="CO98" i="1"/>
  <c r="CI98" i="1"/>
  <c r="CE98" i="1"/>
  <c r="CC98" i="1"/>
  <c r="CA98" i="1"/>
  <c r="BY98" i="1"/>
  <c r="BW98" i="1"/>
  <c r="BU98" i="1"/>
  <c r="BO98" i="1"/>
  <c r="BM98" i="1"/>
  <c r="AU98" i="1"/>
  <c r="AS98" i="1"/>
  <c r="AQ98" i="1"/>
  <c r="AC98" i="1"/>
  <c r="AB98" i="1"/>
  <c r="DR98" i="1" s="1"/>
  <c r="DV98" i="1" s="1"/>
  <c r="W98" i="1"/>
  <c r="U98" i="1"/>
  <c r="Q98" i="1"/>
  <c r="DO97" i="1"/>
  <c r="DM97" i="1"/>
  <c r="DK97" i="1"/>
  <c r="DI97" i="1"/>
  <c r="DG97" i="1"/>
  <c r="DC97" i="1"/>
  <c r="CY97" i="1"/>
  <c r="CT97" i="1"/>
  <c r="CU97" i="1" s="1"/>
  <c r="CS97" i="1"/>
  <c r="CQ97" i="1"/>
  <c r="CO97" i="1"/>
  <c r="CI97" i="1"/>
  <c r="CE97" i="1"/>
  <c r="CC97" i="1"/>
  <c r="CA97" i="1"/>
  <c r="BY97" i="1"/>
  <c r="BW97" i="1"/>
  <c r="BU97" i="1"/>
  <c r="BO97" i="1"/>
  <c r="BM97" i="1"/>
  <c r="AU97" i="1"/>
  <c r="AS97" i="1"/>
  <c r="AQ97" i="1"/>
  <c r="AC97" i="1"/>
  <c r="AB97" i="1"/>
  <c r="W97" i="1"/>
  <c r="U97" i="1"/>
  <c r="Q97" i="1"/>
  <c r="DN96" i="1"/>
  <c r="DL96" i="1"/>
  <c r="DM96" i="1" s="1"/>
  <c r="DK96" i="1"/>
  <c r="DH96" i="1"/>
  <c r="DH85" i="1" s="1"/>
  <c r="DF96" i="1"/>
  <c r="DG96" i="1" s="1"/>
  <c r="DC96" i="1"/>
  <c r="CY96" i="1"/>
  <c r="CU96" i="1"/>
  <c r="CT96" i="1"/>
  <c r="CS96" i="1"/>
  <c r="CQ96" i="1"/>
  <c r="CO96" i="1"/>
  <c r="CI96" i="1"/>
  <c r="CE96" i="1"/>
  <c r="CC96" i="1"/>
  <c r="CA96" i="1"/>
  <c r="BZ96" i="1"/>
  <c r="BY96" i="1"/>
  <c r="BW96" i="1"/>
  <c r="BU96" i="1"/>
  <c r="BQ96" i="1"/>
  <c r="BO96" i="1"/>
  <c r="BM96" i="1"/>
  <c r="AY96" i="1"/>
  <c r="AY85" i="1" s="1"/>
  <c r="AU96" i="1"/>
  <c r="AS96" i="1"/>
  <c r="AQ96" i="1"/>
  <c r="AO96" i="1"/>
  <c r="AO85" i="1" s="1"/>
  <c r="AC96" i="1"/>
  <c r="AB96" i="1"/>
  <c r="W96" i="1"/>
  <c r="U96" i="1"/>
  <c r="Q96" i="1"/>
  <c r="DO95" i="1"/>
  <c r="DN95" i="1"/>
  <c r="DM95" i="1"/>
  <c r="DL95" i="1"/>
  <c r="DK95" i="1"/>
  <c r="DH95" i="1"/>
  <c r="DI95" i="1" s="1"/>
  <c r="DF95" i="1"/>
  <c r="DG95" i="1" s="1"/>
  <c r="DC95" i="1"/>
  <c r="CY95" i="1"/>
  <c r="CU95" i="1"/>
  <c r="CS95" i="1"/>
  <c r="CQ95" i="1"/>
  <c r="CO95" i="1"/>
  <c r="CI95" i="1"/>
  <c r="CA95" i="1"/>
  <c r="BZ95" i="1"/>
  <c r="BY95" i="1"/>
  <c r="BW95" i="1"/>
  <c r="BU95" i="1"/>
  <c r="BO95" i="1"/>
  <c r="BM95" i="1"/>
  <c r="AY95" i="1"/>
  <c r="AU95" i="1"/>
  <c r="AS95" i="1"/>
  <c r="AQ95" i="1"/>
  <c r="AC95" i="1"/>
  <c r="AB95" i="1"/>
  <c r="W95" i="1"/>
  <c r="U95" i="1"/>
  <c r="Q95" i="1"/>
  <c r="DO94" i="1"/>
  <c r="DN94" i="1"/>
  <c r="DM94" i="1"/>
  <c r="DK94" i="1"/>
  <c r="DI94" i="1"/>
  <c r="DH94" i="1"/>
  <c r="DG94" i="1"/>
  <c r="DF94" i="1"/>
  <c r="DC94" i="1"/>
  <c r="CY94" i="1"/>
  <c r="CU94" i="1"/>
  <c r="CT94" i="1"/>
  <c r="CS94" i="1"/>
  <c r="CQ94" i="1"/>
  <c r="CO94" i="1"/>
  <c r="CI94" i="1"/>
  <c r="CA94" i="1"/>
  <c r="BZ94" i="1"/>
  <c r="BY94" i="1"/>
  <c r="BW94" i="1"/>
  <c r="BU94" i="1"/>
  <c r="BO94" i="1"/>
  <c r="BM94" i="1"/>
  <c r="AU94" i="1"/>
  <c r="AS94" i="1"/>
  <c r="AQ94" i="1"/>
  <c r="AC94" i="1"/>
  <c r="AB94" i="1"/>
  <c r="W94" i="1"/>
  <c r="U94" i="1"/>
  <c r="Q94" i="1"/>
  <c r="DN93" i="1"/>
  <c r="DO93" i="1" s="1"/>
  <c r="DL93" i="1"/>
  <c r="DK93" i="1"/>
  <c r="DI93" i="1"/>
  <c r="DH93" i="1"/>
  <c r="DG93" i="1"/>
  <c r="DF93" i="1"/>
  <c r="DC93" i="1"/>
  <c r="CY93" i="1"/>
  <c r="CU93" i="1"/>
  <c r="CS93" i="1"/>
  <c r="CQ93" i="1"/>
  <c r="CO93" i="1"/>
  <c r="CI93" i="1"/>
  <c r="CA93" i="1"/>
  <c r="BY93" i="1"/>
  <c r="BW93" i="1"/>
  <c r="BU93" i="1"/>
  <c r="BO93" i="1"/>
  <c r="BM93" i="1"/>
  <c r="AU93" i="1"/>
  <c r="AS93" i="1"/>
  <c r="AQ93" i="1"/>
  <c r="AC93" i="1"/>
  <c r="AB93" i="1"/>
  <c r="W93" i="1"/>
  <c r="U93" i="1"/>
  <c r="S93" i="1"/>
  <c r="Q93" i="1"/>
  <c r="DO92" i="1"/>
  <c r="DM92" i="1"/>
  <c r="DK92" i="1"/>
  <c r="DI92" i="1"/>
  <c r="DG92" i="1"/>
  <c r="DC92" i="1"/>
  <c r="CY92" i="1"/>
  <c r="CU92" i="1"/>
  <c r="CS92" i="1"/>
  <c r="CQ92" i="1"/>
  <c r="CO92" i="1"/>
  <c r="CI92" i="1"/>
  <c r="CA92" i="1"/>
  <c r="BY92" i="1"/>
  <c r="BW92" i="1"/>
  <c r="BU92" i="1"/>
  <c r="BO92" i="1"/>
  <c r="BM92" i="1"/>
  <c r="AU92" i="1"/>
  <c r="AS92" i="1"/>
  <c r="AQ92" i="1"/>
  <c r="AP92" i="1"/>
  <c r="AI92" i="1"/>
  <c r="AC92" i="1"/>
  <c r="AB92" i="1"/>
  <c r="W92" i="1"/>
  <c r="U92" i="1"/>
  <c r="S92" i="1"/>
  <c r="Q92" i="1"/>
  <c r="DS92" i="1" s="1"/>
  <c r="DW92" i="1" s="1"/>
  <c r="DO91" i="1"/>
  <c r="DM91" i="1"/>
  <c r="DK91" i="1"/>
  <c r="DI91" i="1"/>
  <c r="DG91" i="1"/>
  <c r="DC91" i="1"/>
  <c r="CY91" i="1"/>
  <c r="CU91" i="1"/>
  <c r="CS91" i="1"/>
  <c r="CQ91" i="1"/>
  <c r="CO91" i="1"/>
  <c r="CI91" i="1"/>
  <c r="CA91" i="1"/>
  <c r="BY91" i="1"/>
  <c r="BW91" i="1"/>
  <c r="BU91" i="1"/>
  <c r="BO91" i="1"/>
  <c r="BM91" i="1"/>
  <c r="AU91" i="1"/>
  <c r="AS91" i="1"/>
  <c r="AQ91" i="1"/>
  <c r="AI91" i="1"/>
  <c r="AC91" i="1"/>
  <c r="AB91" i="1"/>
  <c r="DR91" i="1" s="1"/>
  <c r="DV91" i="1" s="1"/>
  <c r="W91" i="1"/>
  <c r="U91" i="1"/>
  <c r="S91" i="1"/>
  <c r="Q91" i="1"/>
  <c r="DO90" i="1"/>
  <c r="DM90" i="1"/>
  <c r="DK90" i="1"/>
  <c r="DI90" i="1"/>
  <c r="DG90" i="1"/>
  <c r="DC90" i="1"/>
  <c r="CY90" i="1"/>
  <c r="CU90" i="1"/>
  <c r="CS90" i="1"/>
  <c r="CQ90" i="1"/>
  <c r="CO90" i="1"/>
  <c r="CI90" i="1"/>
  <c r="CA90" i="1"/>
  <c r="BY90" i="1"/>
  <c r="BW90" i="1"/>
  <c r="BU90" i="1"/>
  <c r="BO90" i="1"/>
  <c r="BM90" i="1"/>
  <c r="AU90" i="1"/>
  <c r="AS90" i="1"/>
  <c r="AQ90" i="1"/>
  <c r="AI90" i="1"/>
  <c r="AC90" i="1"/>
  <c r="AB90" i="1"/>
  <c r="DR90" i="1" s="1"/>
  <c r="DV90" i="1" s="1"/>
  <c r="W90" i="1"/>
  <c r="U90" i="1"/>
  <c r="S90" i="1"/>
  <c r="Q90" i="1"/>
  <c r="DN89" i="1"/>
  <c r="DO89" i="1" s="1"/>
  <c r="DM89" i="1"/>
  <c r="DK89" i="1"/>
  <c r="DI89" i="1"/>
  <c r="DG89" i="1"/>
  <c r="DC89" i="1"/>
  <c r="CX89" i="1"/>
  <c r="CY89" i="1" s="1"/>
  <c r="CU89" i="1"/>
  <c r="CS89" i="1"/>
  <c r="CQ89" i="1"/>
  <c r="CO89" i="1"/>
  <c r="CI89" i="1"/>
  <c r="CA89" i="1"/>
  <c r="BY89" i="1"/>
  <c r="BW89" i="1"/>
  <c r="BU89" i="1"/>
  <c r="BO89" i="1"/>
  <c r="BM89" i="1"/>
  <c r="AU89" i="1"/>
  <c r="AS89" i="1"/>
  <c r="AQ89" i="1"/>
  <c r="AI89" i="1"/>
  <c r="AC89" i="1"/>
  <c r="AB89" i="1"/>
  <c r="W89" i="1"/>
  <c r="U89" i="1"/>
  <c r="S89" i="1"/>
  <c r="Q89" i="1"/>
  <c r="DO88" i="1"/>
  <c r="DM88" i="1"/>
  <c r="DK88" i="1"/>
  <c r="DI88" i="1"/>
  <c r="DG88" i="1"/>
  <c r="DC88" i="1"/>
  <c r="CY88" i="1"/>
  <c r="CU88" i="1"/>
  <c r="CS88" i="1"/>
  <c r="CQ88" i="1"/>
  <c r="CO88" i="1"/>
  <c r="CI88" i="1"/>
  <c r="CA88" i="1"/>
  <c r="BY88" i="1"/>
  <c r="BW88" i="1"/>
  <c r="BU88" i="1"/>
  <c r="BO88" i="1"/>
  <c r="BM88" i="1"/>
  <c r="AU88" i="1"/>
  <c r="AS88" i="1"/>
  <c r="AQ88" i="1"/>
  <c r="AI88" i="1"/>
  <c r="AC88" i="1"/>
  <c r="AB88" i="1"/>
  <c r="W88" i="1"/>
  <c r="T88" i="1"/>
  <c r="U88" i="1" s="1"/>
  <c r="S88" i="1"/>
  <c r="Q88" i="1"/>
  <c r="DO87" i="1"/>
  <c r="DN87" i="1"/>
  <c r="DM87" i="1"/>
  <c r="DK87" i="1"/>
  <c r="DI87" i="1"/>
  <c r="DH87" i="1"/>
  <c r="DG87" i="1"/>
  <c r="DF87" i="1"/>
  <c r="DC87" i="1"/>
  <c r="CX87" i="1"/>
  <c r="CY87" i="1" s="1"/>
  <c r="CT87" i="1"/>
  <c r="CU87" i="1" s="1"/>
  <c r="CS87" i="1"/>
  <c r="CQ87" i="1"/>
  <c r="CO87" i="1"/>
  <c r="CI87" i="1"/>
  <c r="BZ87" i="1"/>
  <c r="CA87" i="1" s="1"/>
  <c r="BY87" i="1"/>
  <c r="BW87" i="1"/>
  <c r="BU87" i="1"/>
  <c r="BO87" i="1"/>
  <c r="BM87" i="1"/>
  <c r="AU87" i="1"/>
  <c r="AS87" i="1"/>
  <c r="AQ87" i="1"/>
  <c r="AI87" i="1"/>
  <c r="AC87" i="1"/>
  <c r="AB87" i="1"/>
  <c r="W87" i="1"/>
  <c r="U87" i="1"/>
  <c r="S87" i="1"/>
  <c r="Q87" i="1"/>
  <c r="DO86" i="1"/>
  <c r="DN86" i="1"/>
  <c r="DM86" i="1"/>
  <c r="DK86" i="1"/>
  <c r="DI86" i="1"/>
  <c r="DF86" i="1"/>
  <c r="DG86" i="1" s="1"/>
  <c r="DC86" i="1"/>
  <c r="CY86" i="1"/>
  <c r="CT86" i="1"/>
  <c r="CU86" i="1" s="1"/>
  <c r="CS86" i="1"/>
  <c r="CQ86" i="1"/>
  <c r="CO86" i="1"/>
  <c r="CI86" i="1"/>
  <c r="BZ86" i="1"/>
  <c r="CA86" i="1" s="1"/>
  <c r="BY86" i="1"/>
  <c r="BW86" i="1"/>
  <c r="BU86" i="1"/>
  <c r="BO86" i="1"/>
  <c r="BM86" i="1"/>
  <c r="AU86" i="1"/>
  <c r="AS86" i="1"/>
  <c r="AQ86" i="1"/>
  <c r="AP86" i="1"/>
  <c r="AI86" i="1"/>
  <c r="AC86" i="1"/>
  <c r="AB86" i="1"/>
  <c r="W86" i="1"/>
  <c r="U86" i="1"/>
  <c r="S86" i="1"/>
  <c r="Q86" i="1"/>
  <c r="DQ85" i="1"/>
  <c r="DP85" i="1"/>
  <c r="DL85" i="1"/>
  <c r="DJ85" i="1"/>
  <c r="DE85" i="1"/>
  <c r="DD85" i="1"/>
  <c r="DB85" i="1"/>
  <c r="CZ85" i="1"/>
  <c r="CV85" i="1"/>
  <c r="CR85" i="1"/>
  <c r="CP85" i="1"/>
  <c r="CN85" i="1"/>
  <c r="CM85" i="1"/>
  <c r="CL85" i="1"/>
  <c r="CK85" i="1"/>
  <c r="CJ85" i="1"/>
  <c r="CH85" i="1"/>
  <c r="CG85" i="1"/>
  <c r="CF85" i="1"/>
  <c r="CD85" i="1"/>
  <c r="CB85" i="1"/>
  <c r="BX85" i="1"/>
  <c r="BV85" i="1"/>
  <c r="BT85" i="1"/>
  <c r="BS85" i="1"/>
  <c r="BR85" i="1"/>
  <c r="BQ85" i="1"/>
  <c r="BP85" i="1"/>
  <c r="BN85" i="1"/>
  <c r="BL85" i="1"/>
  <c r="BK85" i="1"/>
  <c r="BJ85" i="1"/>
  <c r="BI85" i="1"/>
  <c r="BH85" i="1"/>
  <c r="BG85" i="1"/>
  <c r="BF85" i="1"/>
  <c r="BE85" i="1"/>
  <c r="BD85" i="1"/>
  <c r="BC85" i="1"/>
  <c r="BB85" i="1"/>
  <c r="BA85" i="1"/>
  <c r="AZ85" i="1"/>
  <c r="AX85" i="1"/>
  <c r="AW85" i="1"/>
  <c r="AV85" i="1"/>
  <c r="AT85" i="1"/>
  <c r="AR85" i="1"/>
  <c r="AP85" i="1"/>
  <c r="AN85" i="1"/>
  <c r="AM85" i="1"/>
  <c r="AL85" i="1"/>
  <c r="AK85" i="1"/>
  <c r="AJ85" i="1"/>
  <c r="AH85" i="1"/>
  <c r="AG85" i="1"/>
  <c r="AF85" i="1"/>
  <c r="AE85" i="1"/>
  <c r="AD85" i="1"/>
  <c r="V85" i="1"/>
  <c r="T85" i="1"/>
  <c r="R85" i="1"/>
  <c r="P85" i="1"/>
  <c r="DO84" i="1"/>
  <c r="DM84" i="1"/>
  <c r="DK84" i="1"/>
  <c r="DI84" i="1"/>
  <c r="DG84" i="1"/>
  <c r="DE84" i="1"/>
  <c r="DC84" i="1"/>
  <c r="CY84" i="1"/>
  <c r="CU84" i="1"/>
  <c r="CS84" i="1"/>
  <c r="CQ84" i="1"/>
  <c r="CO84" i="1"/>
  <c r="CM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I84" i="1"/>
  <c r="AE84" i="1"/>
  <c r="AC84" i="1"/>
  <c r="AB84" i="1"/>
  <c r="W84" i="1"/>
  <c r="T84" i="1"/>
  <c r="S84" i="1"/>
  <c r="Q84" i="1"/>
  <c r="DO83" i="1"/>
  <c r="DM83" i="1"/>
  <c r="DK83" i="1"/>
  <c r="DI83" i="1"/>
  <c r="DG83" i="1"/>
  <c r="DE83" i="1"/>
  <c r="DC83" i="1"/>
  <c r="CY83" i="1"/>
  <c r="CU83" i="1"/>
  <c r="CS83" i="1"/>
  <c r="CQ83" i="1"/>
  <c r="CO83" i="1"/>
  <c r="CM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I83" i="1"/>
  <c r="AE83" i="1"/>
  <c r="AC83" i="1"/>
  <c r="AB83" i="1"/>
  <c r="W83" i="1"/>
  <c r="T83" i="1"/>
  <c r="S83" i="1"/>
  <c r="Q83" i="1"/>
  <c r="DO82" i="1"/>
  <c r="DM82" i="1"/>
  <c r="DK82" i="1"/>
  <c r="DI82" i="1"/>
  <c r="DG82" i="1"/>
  <c r="DE82" i="1"/>
  <c r="DC82" i="1"/>
  <c r="CY82" i="1"/>
  <c r="CU82" i="1"/>
  <c r="CS82" i="1"/>
  <c r="CQ82" i="1"/>
  <c r="CO82" i="1"/>
  <c r="CM82" i="1"/>
  <c r="CI82" i="1"/>
  <c r="CG82" i="1"/>
  <c r="CE82" i="1"/>
  <c r="CE80" i="1" s="1"/>
  <c r="CC82" i="1"/>
  <c r="CA82" i="1"/>
  <c r="BY82" i="1"/>
  <c r="BW82" i="1"/>
  <c r="BU82" i="1"/>
  <c r="BS82" i="1"/>
  <c r="BQ82" i="1"/>
  <c r="BQ80" i="1" s="1"/>
  <c r="BO82" i="1"/>
  <c r="BM82" i="1"/>
  <c r="BK82" i="1"/>
  <c r="BI82" i="1"/>
  <c r="BG82" i="1"/>
  <c r="BG80" i="1" s="1"/>
  <c r="BE82" i="1"/>
  <c r="BC82" i="1"/>
  <c r="BA82" i="1"/>
  <c r="AY82" i="1"/>
  <c r="AW82" i="1"/>
  <c r="AU82" i="1"/>
  <c r="AS82" i="1"/>
  <c r="AS80" i="1" s="1"/>
  <c r="AQ82" i="1"/>
  <c r="AO82" i="1"/>
  <c r="AI82" i="1"/>
  <c r="AE82" i="1"/>
  <c r="AC82" i="1"/>
  <c r="AB82" i="1"/>
  <c r="W82" i="1"/>
  <c r="T82" i="1"/>
  <c r="S82" i="1"/>
  <c r="Q82" i="1"/>
  <c r="DN81" i="1"/>
  <c r="DO81" i="1" s="1"/>
  <c r="DO80" i="1" s="1"/>
  <c r="DM81" i="1"/>
  <c r="DK81" i="1"/>
  <c r="DI81" i="1"/>
  <c r="DG81" i="1"/>
  <c r="DE81" i="1"/>
  <c r="DC81" i="1"/>
  <c r="DC80" i="1" s="1"/>
  <c r="CY81" i="1"/>
  <c r="CU81" i="1"/>
  <c r="CS81" i="1"/>
  <c r="CQ81" i="1"/>
  <c r="CQ80" i="1" s="1"/>
  <c r="CO81" i="1"/>
  <c r="CM81" i="1"/>
  <c r="CM80" i="1" s="1"/>
  <c r="CI81" i="1"/>
  <c r="CG81" i="1"/>
  <c r="CE81" i="1"/>
  <c r="CC81" i="1"/>
  <c r="CA81" i="1"/>
  <c r="BY81" i="1"/>
  <c r="BY80" i="1" s="1"/>
  <c r="BW81" i="1"/>
  <c r="BU81" i="1"/>
  <c r="BS81" i="1"/>
  <c r="BQ81" i="1"/>
  <c r="BO81" i="1"/>
  <c r="BM81" i="1"/>
  <c r="BM80" i="1" s="1"/>
  <c r="BK81" i="1"/>
  <c r="BI81" i="1"/>
  <c r="BG81" i="1"/>
  <c r="BE81" i="1"/>
  <c r="BC81" i="1"/>
  <c r="BA81" i="1"/>
  <c r="BA80" i="1" s="1"/>
  <c r="AY81" i="1"/>
  <c r="AW81" i="1"/>
  <c r="AU81" i="1"/>
  <c r="AS81" i="1"/>
  <c r="AQ81" i="1"/>
  <c r="AO81" i="1"/>
  <c r="AO80" i="1" s="1"/>
  <c r="AI81" i="1"/>
  <c r="AE81" i="1"/>
  <c r="AC81" i="1"/>
  <c r="AB81" i="1"/>
  <c r="W81" i="1"/>
  <c r="U81" i="1"/>
  <c r="T81" i="1"/>
  <c r="S81" i="1"/>
  <c r="Q81" i="1"/>
  <c r="DQ80" i="1"/>
  <c r="DP80" i="1"/>
  <c r="DL80" i="1"/>
  <c r="DJ80" i="1"/>
  <c r="DH80" i="1"/>
  <c r="DG80" i="1"/>
  <c r="DF80" i="1"/>
  <c r="DE80" i="1"/>
  <c r="DD80" i="1"/>
  <c r="DB80" i="1"/>
  <c r="CZ80" i="1"/>
  <c r="CX80" i="1"/>
  <c r="CV80" i="1"/>
  <c r="CT80" i="1"/>
  <c r="CR80" i="1"/>
  <c r="CP80" i="1"/>
  <c r="CN80" i="1"/>
  <c r="CL80" i="1"/>
  <c r="CK80" i="1"/>
  <c r="CJ80" i="1"/>
  <c r="CH80" i="1"/>
  <c r="CF80" i="1"/>
  <c r="CD80" i="1"/>
  <c r="CC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E80" i="1"/>
  <c r="BD80" i="1"/>
  <c r="BB80" i="1"/>
  <c r="AZ80" i="1"/>
  <c r="AX80" i="1"/>
  <c r="AV80" i="1"/>
  <c r="AT80" i="1"/>
  <c r="AR80" i="1"/>
  <c r="AP80" i="1"/>
  <c r="AN80" i="1"/>
  <c r="AM80" i="1"/>
  <c r="AL80" i="1"/>
  <c r="AK80" i="1"/>
  <c r="AJ80" i="1"/>
  <c r="AH80" i="1"/>
  <c r="AG80" i="1"/>
  <c r="AF80" i="1"/>
  <c r="AD80" i="1"/>
  <c r="V80" i="1"/>
  <c r="S80" i="1"/>
  <c r="R80" i="1"/>
  <c r="P80" i="1"/>
  <c r="DO79" i="1"/>
  <c r="DM79" i="1"/>
  <c r="DK79" i="1"/>
  <c r="DI79" i="1"/>
  <c r="DG79" i="1"/>
  <c r="DE79" i="1"/>
  <c r="DC79" i="1"/>
  <c r="CY79" i="1"/>
  <c r="CU79" i="1"/>
  <c r="CS79" i="1"/>
  <c r="CQ79" i="1"/>
  <c r="CO79" i="1"/>
  <c r="CM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I79" i="1"/>
  <c r="AE79" i="1"/>
  <c r="AC79" i="1"/>
  <c r="AB79" i="1"/>
  <c r="W79" i="1"/>
  <c r="T79" i="1"/>
  <c r="T72" i="1" s="1"/>
  <c r="S79" i="1"/>
  <c r="Q79" i="1"/>
  <c r="DO78" i="1"/>
  <c r="DM78" i="1"/>
  <c r="DK78" i="1"/>
  <c r="DI78" i="1"/>
  <c r="DG78" i="1"/>
  <c r="DE78" i="1"/>
  <c r="DC78" i="1"/>
  <c r="CY78" i="1"/>
  <c r="CU78" i="1"/>
  <c r="CS78" i="1"/>
  <c r="CQ78" i="1"/>
  <c r="CO78" i="1"/>
  <c r="CM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I78" i="1"/>
  <c r="AE78" i="1"/>
  <c r="AC78" i="1"/>
  <c r="AB78" i="1"/>
  <c r="DR78" i="1" s="1"/>
  <c r="DV78" i="1" s="1"/>
  <c r="W78" i="1"/>
  <c r="U78" i="1"/>
  <c r="S78" i="1"/>
  <c r="Q78" i="1"/>
  <c r="DR77" i="1"/>
  <c r="DV77" i="1" s="1"/>
  <c r="DO77" i="1"/>
  <c r="DM77" i="1"/>
  <c r="DK77" i="1"/>
  <c r="DI77" i="1"/>
  <c r="DE77" i="1"/>
  <c r="DC77" i="1"/>
  <c r="CY77" i="1"/>
  <c r="CU77" i="1"/>
  <c r="CS77" i="1"/>
  <c r="CQ77" i="1"/>
  <c r="CO77" i="1"/>
  <c r="CM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I77" i="1"/>
  <c r="BG77" i="1"/>
  <c r="BE77" i="1"/>
  <c r="BC77" i="1"/>
  <c r="BA77" i="1"/>
  <c r="AY77" i="1"/>
  <c r="AW77" i="1"/>
  <c r="AU77" i="1"/>
  <c r="AS77" i="1"/>
  <c r="AQ77" i="1"/>
  <c r="AO77" i="1"/>
  <c r="AI77" i="1"/>
  <c r="AE77" i="1"/>
  <c r="AC77" i="1"/>
  <c r="AB77" i="1"/>
  <c r="W77" i="1"/>
  <c r="U77" i="1"/>
  <c r="S77" i="1"/>
  <c r="DS77" i="1" s="1"/>
  <c r="DW77" i="1" s="1"/>
  <c r="Q77" i="1"/>
  <c r="DO76" i="1"/>
  <c r="DM76" i="1"/>
  <c r="DK76" i="1"/>
  <c r="DI76" i="1"/>
  <c r="DG76" i="1"/>
  <c r="DE76" i="1"/>
  <c r="DC76" i="1"/>
  <c r="CY76" i="1"/>
  <c r="CU76" i="1"/>
  <c r="CS76" i="1"/>
  <c r="CQ76" i="1"/>
  <c r="CO76" i="1"/>
  <c r="CM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I76" i="1"/>
  <c r="AE76" i="1"/>
  <c r="AC76" i="1"/>
  <c r="AB76" i="1"/>
  <c r="DR76" i="1" s="1"/>
  <c r="DV76" i="1" s="1"/>
  <c r="W76" i="1"/>
  <c r="U76" i="1"/>
  <c r="S76" i="1"/>
  <c r="Q76" i="1"/>
  <c r="DR75" i="1"/>
  <c r="DV75" i="1" s="1"/>
  <c r="DO75" i="1"/>
  <c r="DM75" i="1"/>
  <c r="DK75" i="1"/>
  <c r="DI75" i="1"/>
  <c r="DE75" i="1"/>
  <c r="DC75" i="1"/>
  <c r="CY75" i="1"/>
  <c r="CU75" i="1"/>
  <c r="CS75" i="1"/>
  <c r="CQ75" i="1"/>
  <c r="CO75" i="1"/>
  <c r="CM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I75" i="1"/>
  <c r="BG75" i="1"/>
  <c r="BE75" i="1"/>
  <c r="BC75" i="1"/>
  <c r="BA75" i="1"/>
  <c r="AY75" i="1"/>
  <c r="AW75" i="1"/>
  <c r="AU75" i="1"/>
  <c r="AS75" i="1"/>
  <c r="AQ75" i="1"/>
  <c r="AO75" i="1"/>
  <c r="AI75" i="1"/>
  <c r="AE75" i="1"/>
  <c r="AC75" i="1"/>
  <c r="AB75" i="1"/>
  <c r="W75" i="1"/>
  <c r="U75" i="1"/>
  <c r="S75" i="1"/>
  <c r="Q75" i="1"/>
  <c r="DO74" i="1"/>
  <c r="DM74" i="1"/>
  <c r="DK74" i="1"/>
  <c r="DI74" i="1"/>
  <c r="DG74" i="1"/>
  <c r="DE74" i="1"/>
  <c r="DC74" i="1"/>
  <c r="CY74" i="1"/>
  <c r="CU74" i="1"/>
  <c r="CS74" i="1"/>
  <c r="CQ74" i="1"/>
  <c r="CO74" i="1"/>
  <c r="CM74" i="1"/>
  <c r="CI74" i="1"/>
  <c r="CG74" i="1"/>
  <c r="CE74" i="1"/>
  <c r="CC74" i="1"/>
  <c r="CC72" i="1" s="1"/>
  <c r="CA74" i="1"/>
  <c r="BY74" i="1"/>
  <c r="BW74" i="1"/>
  <c r="BU74" i="1"/>
  <c r="BS74" i="1"/>
  <c r="BQ74" i="1"/>
  <c r="BQ72" i="1" s="1"/>
  <c r="BO74" i="1"/>
  <c r="BM74" i="1"/>
  <c r="BK74" i="1"/>
  <c r="BI74" i="1"/>
  <c r="BG74" i="1"/>
  <c r="BE74" i="1"/>
  <c r="BE72" i="1" s="1"/>
  <c r="BC74" i="1"/>
  <c r="BA74" i="1"/>
  <c r="AY74" i="1"/>
  <c r="AW74" i="1"/>
  <c r="AU74" i="1"/>
  <c r="AS74" i="1"/>
  <c r="AQ74" i="1"/>
  <c r="AO74" i="1"/>
  <c r="AI74" i="1"/>
  <c r="AE74" i="1"/>
  <c r="AC74" i="1"/>
  <c r="AB74" i="1"/>
  <c r="DR74" i="1" s="1"/>
  <c r="DV74" i="1" s="1"/>
  <c r="W74" i="1"/>
  <c r="U74" i="1"/>
  <c r="S74" i="1"/>
  <c r="Q74" i="1"/>
  <c r="DO73" i="1"/>
  <c r="DM73" i="1"/>
  <c r="DM72" i="1" s="1"/>
  <c r="DK73" i="1"/>
  <c r="DI73" i="1"/>
  <c r="DG73" i="1"/>
  <c r="DE73" i="1"/>
  <c r="DC73" i="1"/>
  <c r="CY73" i="1"/>
  <c r="CY72" i="1" s="1"/>
  <c r="CU73" i="1"/>
  <c r="CS73" i="1"/>
  <c r="CQ73" i="1"/>
  <c r="CO73" i="1"/>
  <c r="CM73" i="1"/>
  <c r="CI73" i="1"/>
  <c r="CI72" i="1" s="1"/>
  <c r="CG73" i="1"/>
  <c r="CE73" i="1"/>
  <c r="CC73" i="1"/>
  <c r="CA73" i="1"/>
  <c r="BY73" i="1"/>
  <c r="BW73" i="1"/>
  <c r="BW72" i="1" s="1"/>
  <c r="BU73" i="1"/>
  <c r="BS73" i="1"/>
  <c r="BQ73" i="1"/>
  <c r="BO73" i="1"/>
  <c r="BM73" i="1"/>
  <c r="BK73" i="1"/>
  <c r="BK72" i="1" s="1"/>
  <c r="BI73" i="1"/>
  <c r="BG73" i="1"/>
  <c r="BE73" i="1"/>
  <c r="BC73" i="1"/>
  <c r="BA73" i="1"/>
  <c r="AY73" i="1"/>
  <c r="AW73" i="1"/>
  <c r="AT73" i="1"/>
  <c r="AU73" i="1" s="1"/>
  <c r="AU72" i="1" s="1"/>
  <c r="AS73" i="1"/>
  <c r="AQ73" i="1"/>
  <c r="AO73" i="1"/>
  <c r="AO72" i="1" s="1"/>
  <c r="AI73" i="1"/>
  <c r="AE73" i="1"/>
  <c r="AC73" i="1"/>
  <c r="AB73" i="1"/>
  <c r="W73" i="1"/>
  <c r="U73" i="1"/>
  <c r="S73" i="1"/>
  <c r="Q73" i="1"/>
  <c r="DQ72" i="1"/>
  <c r="DP72" i="1"/>
  <c r="DN72" i="1"/>
  <c r="DL72" i="1"/>
  <c r="DJ72" i="1"/>
  <c r="DH72" i="1"/>
  <c r="DF72" i="1"/>
  <c r="DD72" i="1"/>
  <c r="DB72" i="1"/>
  <c r="CZ72" i="1"/>
  <c r="CX72" i="1"/>
  <c r="CV72" i="1"/>
  <c r="CT72" i="1"/>
  <c r="CR72" i="1"/>
  <c r="CP72" i="1"/>
  <c r="CN72" i="1"/>
  <c r="CL72" i="1"/>
  <c r="CK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M72" i="1"/>
  <c r="AL72" i="1"/>
  <c r="AK72" i="1"/>
  <c r="AJ72" i="1"/>
  <c r="AH72" i="1"/>
  <c r="AG72" i="1"/>
  <c r="AF72" i="1"/>
  <c r="AD72" i="1"/>
  <c r="AB72" i="1"/>
  <c r="V72" i="1"/>
  <c r="R72" i="1"/>
  <c r="P72" i="1"/>
  <c r="DR71" i="1"/>
  <c r="DV71" i="1" s="1"/>
  <c r="DO71" i="1"/>
  <c r="DM71" i="1"/>
  <c r="DK71" i="1"/>
  <c r="DI71" i="1"/>
  <c r="DE71" i="1"/>
  <c r="DC71" i="1"/>
  <c r="CY71" i="1"/>
  <c r="CU71" i="1"/>
  <c r="CS71" i="1"/>
  <c r="CQ71" i="1"/>
  <c r="CO71" i="1"/>
  <c r="CM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I71" i="1"/>
  <c r="BG71" i="1"/>
  <c r="BE71" i="1"/>
  <c r="BC71" i="1"/>
  <c r="BA71" i="1"/>
  <c r="AY71" i="1"/>
  <c r="AW71" i="1"/>
  <c r="AU71" i="1"/>
  <c r="AS71" i="1"/>
  <c r="AQ71" i="1"/>
  <c r="AO71" i="1"/>
  <c r="AI71" i="1"/>
  <c r="AE71" i="1"/>
  <c r="AC71" i="1"/>
  <c r="AB71" i="1"/>
  <c r="W71" i="1"/>
  <c r="U71" i="1"/>
  <c r="S71" i="1"/>
  <c r="Q71" i="1"/>
  <c r="DO70" i="1"/>
  <c r="DM70" i="1"/>
  <c r="DK70" i="1"/>
  <c r="DI70" i="1"/>
  <c r="DE70" i="1"/>
  <c r="DC70" i="1"/>
  <c r="CY70" i="1"/>
  <c r="CU70" i="1"/>
  <c r="CS70" i="1"/>
  <c r="CQ70" i="1"/>
  <c r="CO70" i="1"/>
  <c r="CM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I70" i="1"/>
  <c r="BG70" i="1"/>
  <c r="BE70" i="1"/>
  <c r="BC70" i="1"/>
  <c r="BA70" i="1"/>
  <c r="AY70" i="1"/>
  <c r="AW70" i="1"/>
  <c r="AU70" i="1"/>
  <c r="AS70" i="1"/>
  <c r="AQ70" i="1"/>
  <c r="AO70" i="1"/>
  <c r="AI70" i="1"/>
  <c r="AE70" i="1"/>
  <c r="AC70" i="1"/>
  <c r="AB70" i="1"/>
  <c r="DR70" i="1" s="1"/>
  <c r="DV70" i="1" s="1"/>
  <c r="W70" i="1"/>
  <c r="U70" i="1"/>
  <c r="S70" i="1"/>
  <c r="Q70" i="1"/>
  <c r="DO69" i="1"/>
  <c r="DM69" i="1"/>
  <c r="DK69" i="1"/>
  <c r="DI69" i="1"/>
  <c r="DE69" i="1"/>
  <c r="DC69" i="1"/>
  <c r="CY69" i="1"/>
  <c r="CU69" i="1"/>
  <c r="CS69" i="1"/>
  <c r="CQ69" i="1"/>
  <c r="CO69" i="1"/>
  <c r="CM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I69" i="1"/>
  <c r="BG69" i="1"/>
  <c r="BE69" i="1"/>
  <c r="BC69" i="1"/>
  <c r="BA69" i="1"/>
  <c r="AY69" i="1"/>
  <c r="AW69" i="1"/>
  <c r="AU69" i="1"/>
  <c r="AS69" i="1"/>
  <c r="AQ69" i="1"/>
  <c r="AO69" i="1"/>
  <c r="AI69" i="1"/>
  <c r="AE69" i="1"/>
  <c r="AC69" i="1"/>
  <c r="AB69" i="1"/>
  <c r="DR69" i="1" s="1"/>
  <c r="DV69" i="1" s="1"/>
  <c r="W69" i="1"/>
  <c r="U69" i="1"/>
  <c r="S69" i="1"/>
  <c r="Q69" i="1"/>
  <c r="DO68" i="1"/>
  <c r="DM68" i="1"/>
  <c r="DK68" i="1"/>
  <c r="DI68" i="1"/>
  <c r="DG68" i="1"/>
  <c r="DE68" i="1"/>
  <c r="DC68" i="1"/>
  <c r="CY68" i="1"/>
  <c r="CU68" i="1"/>
  <c r="CS68" i="1"/>
  <c r="CQ68" i="1"/>
  <c r="CO68" i="1"/>
  <c r="CM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I68" i="1"/>
  <c r="AE68" i="1"/>
  <c r="AC68" i="1"/>
  <c r="AB68" i="1"/>
  <c r="DR68" i="1" s="1"/>
  <c r="DV68" i="1" s="1"/>
  <c r="W68" i="1"/>
  <c r="U68" i="1"/>
  <c r="DS68" i="1" s="1"/>
  <c r="DW68" i="1" s="1"/>
  <c r="S68" i="1"/>
  <c r="Q68" i="1"/>
  <c r="DR67" i="1"/>
  <c r="DV67" i="1" s="1"/>
  <c r="DO67" i="1"/>
  <c r="DM67" i="1"/>
  <c r="DK67" i="1"/>
  <c r="DI67" i="1"/>
  <c r="DG67" i="1"/>
  <c r="DE67" i="1"/>
  <c r="DC67" i="1"/>
  <c r="CY67" i="1"/>
  <c r="CU67" i="1"/>
  <c r="CS67" i="1"/>
  <c r="CQ67" i="1"/>
  <c r="CO67" i="1"/>
  <c r="CM67" i="1"/>
  <c r="CI67" i="1"/>
  <c r="CG67" i="1"/>
  <c r="CE67" i="1"/>
  <c r="CC67" i="1"/>
  <c r="CA67" i="1"/>
  <c r="BY67" i="1"/>
  <c r="BW67" i="1"/>
  <c r="BU67" i="1"/>
  <c r="BU61" i="1" s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I67" i="1"/>
  <c r="AE67" i="1"/>
  <c r="AE61" i="1" s="1"/>
  <c r="AC67" i="1"/>
  <c r="AB67" i="1"/>
  <c r="W67" i="1"/>
  <c r="U67" i="1"/>
  <c r="S67" i="1"/>
  <c r="Q67" i="1"/>
  <c r="Q61" i="1" s="1"/>
  <c r="DO66" i="1"/>
  <c r="DM66" i="1"/>
  <c r="DK66" i="1"/>
  <c r="DI66" i="1"/>
  <c r="DG66" i="1"/>
  <c r="DG61" i="1" s="1"/>
  <c r="DE66" i="1"/>
  <c r="DE61" i="1" s="1"/>
  <c r="DC66" i="1"/>
  <c r="CY66" i="1"/>
  <c r="CU66" i="1"/>
  <c r="CS66" i="1"/>
  <c r="CQ66" i="1"/>
  <c r="CQ61" i="1" s="1"/>
  <c r="CO66" i="1"/>
  <c r="CM66" i="1"/>
  <c r="CI66" i="1"/>
  <c r="CG66" i="1"/>
  <c r="CE66" i="1"/>
  <c r="CC66" i="1"/>
  <c r="CC61" i="1" s="1"/>
  <c r="CA66" i="1"/>
  <c r="BY66" i="1"/>
  <c r="BW66" i="1"/>
  <c r="BU66" i="1"/>
  <c r="BS66" i="1"/>
  <c r="BQ66" i="1"/>
  <c r="BQ61" i="1" s="1"/>
  <c r="BO66" i="1"/>
  <c r="BM66" i="1"/>
  <c r="BK66" i="1"/>
  <c r="BI66" i="1"/>
  <c r="BG66" i="1"/>
  <c r="BE66" i="1"/>
  <c r="BC66" i="1"/>
  <c r="BC61" i="1" s="1"/>
  <c r="BA66" i="1"/>
  <c r="AY66" i="1"/>
  <c r="AW66" i="1"/>
  <c r="AU66" i="1"/>
  <c r="AS66" i="1"/>
  <c r="AQ66" i="1"/>
  <c r="AO66" i="1"/>
  <c r="AI66" i="1"/>
  <c r="AE66" i="1"/>
  <c r="AC66" i="1"/>
  <c r="AB66" i="1"/>
  <c r="DR66" i="1" s="1"/>
  <c r="DV66" i="1" s="1"/>
  <c r="W66" i="1"/>
  <c r="U66" i="1"/>
  <c r="S66" i="1"/>
  <c r="Q66" i="1"/>
  <c r="DO65" i="1"/>
  <c r="DM65" i="1"/>
  <c r="DK65" i="1"/>
  <c r="DI65" i="1"/>
  <c r="DE65" i="1"/>
  <c r="DC65" i="1"/>
  <c r="CY65" i="1"/>
  <c r="CU65" i="1"/>
  <c r="CS65" i="1"/>
  <c r="CQ65" i="1"/>
  <c r="CO65" i="1"/>
  <c r="CM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I65" i="1"/>
  <c r="BG65" i="1"/>
  <c r="BE65" i="1"/>
  <c r="BC65" i="1"/>
  <c r="BA65" i="1"/>
  <c r="AY65" i="1"/>
  <c r="AW65" i="1"/>
  <c r="AU65" i="1"/>
  <c r="AS65" i="1"/>
  <c r="AQ65" i="1"/>
  <c r="AO65" i="1"/>
  <c r="AI65" i="1"/>
  <c r="AE65" i="1"/>
  <c r="AC65" i="1"/>
  <c r="AB65" i="1"/>
  <c r="DR65" i="1" s="1"/>
  <c r="DV65" i="1" s="1"/>
  <c r="W65" i="1"/>
  <c r="U65" i="1"/>
  <c r="S65" i="1"/>
  <c r="Q65" i="1"/>
  <c r="DO64" i="1"/>
  <c r="DM64" i="1"/>
  <c r="DK64" i="1"/>
  <c r="DI64" i="1"/>
  <c r="DE64" i="1"/>
  <c r="DC64" i="1"/>
  <c r="CY64" i="1"/>
  <c r="CU64" i="1"/>
  <c r="CS64" i="1"/>
  <c r="CQ64" i="1"/>
  <c r="CO64" i="1"/>
  <c r="CM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I64" i="1"/>
  <c r="BG64" i="1"/>
  <c r="BE64" i="1"/>
  <c r="BC64" i="1"/>
  <c r="BA64" i="1"/>
  <c r="AY64" i="1"/>
  <c r="AW64" i="1"/>
  <c r="AU64" i="1"/>
  <c r="AS64" i="1"/>
  <c r="AQ64" i="1"/>
  <c r="AO64" i="1"/>
  <c r="AI64" i="1"/>
  <c r="AE64" i="1"/>
  <c r="AC64" i="1"/>
  <c r="AB64" i="1"/>
  <c r="DR64" i="1" s="1"/>
  <c r="DV64" i="1" s="1"/>
  <c r="W64" i="1"/>
  <c r="U64" i="1"/>
  <c r="S64" i="1"/>
  <c r="DS64" i="1" s="1"/>
  <c r="DW64" i="1" s="1"/>
  <c r="Q64" i="1"/>
  <c r="DO63" i="1"/>
  <c r="DM63" i="1"/>
  <c r="DK63" i="1"/>
  <c r="DI63" i="1"/>
  <c r="DG63" i="1"/>
  <c r="DE63" i="1"/>
  <c r="DC63" i="1"/>
  <c r="CY63" i="1"/>
  <c r="CU63" i="1"/>
  <c r="CS63" i="1"/>
  <c r="CS61" i="1" s="1"/>
  <c r="CQ63" i="1"/>
  <c r="CO63" i="1"/>
  <c r="CM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I63" i="1"/>
  <c r="AE63" i="1"/>
  <c r="AC63" i="1"/>
  <c r="AB63" i="1"/>
  <c r="DR63" i="1" s="1"/>
  <c r="DV63" i="1" s="1"/>
  <c r="W63" i="1"/>
  <c r="U63" i="1"/>
  <c r="S63" i="1"/>
  <c r="Q63" i="1"/>
  <c r="DO62" i="1"/>
  <c r="DO61" i="1" s="1"/>
  <c r="DM62" i="1"/>
  <c r="DK62" i="1"/>
  <c r="DI62" i="1"/>
  <c r="DG62" i="1"/>
  <c r="DE62" i="1"/>
  <c r="DC62" i="1"/>
  <c r="DC61" i="1" s="1"/>
  <c r="CY62" i="1"/>
  <c r="CU62" i="1"/>
  <c r="CS62" i="1"/>
  <c r="CQ62" i="1"/>
  <c r="CO62" i="1"/>
  <c r="CM62" i="1"/>
  <c r="CM61" i="1" s="1"/>
  <c r="CI62" i="1"/>
  <c r="CG62" i="1"/>
  <c r="CE62" i="1"/>
  <c r="CC62" i="1"/>
  <c r="CA62" i="1"/>
  <c r="BY62" i="1"/>
  <c r="BY61" i="1" s="1"/>
  <c r="BW62" i="1"/>
  <c r="BU62" i="1"/>
  <c r="BS62" i="1"/>
  <c r="BQ62" i="1"/>
  <c r="BO62" i="1"/>
  <c r="BM62" i="1"/>
  <c r="BM61" i="1" s="1"/>
  <c r="BK62" i="1"/>
  <c r="BI62" i="1"/>
  <c r="BG62" i="1"/>
  <c r="BE62" i="1"/>
  <c r="BC62" i="1"/>
  <c r="BA62" i="1"/>
  <c r="BA61" i="1" s="1"/>
  <c r="AY62" i="1"/>
  <c r="AW62" i="1"/>
  <c r="AU62" i="1"/>
  <c r="AS62" i="1"/>
  <c r="AQ62" i="1"/>
  <c r="AO62" i="1"/>
  <c r="AO61" i="1" s="1"/>
  <c r="AI62" i="1"/>
  <c r="AE62" i="1"/>
  <c r="AC62" i="1"/>
  <c r="AB62" i="1"/>
  <c r="W62" i="1"/>
  <c r="U62" i="1"/>
  <c r="U61" i="1" s="1"/>
  <c r="T62" i="1"/>
  <c r="DR62" i="1" s="1"/>
  <c r="S62" i="1"/>
  <c r="Q62" i="1"/>
  <c r="DQ61" i="1"/>
  <c r="DP61" i="1"/>
  <c r="DN61" i="1"/>
  <c r="DL61" i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K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M61" i="1"/>
  <c r="AL61" i="1"/>
  <c r="AK61" i="1"/>
  <c r="AJ61" i="1"/>
  <c r="AH61" i="1"/>
  <c r="AG61" i="1"/>
  <c r="AF61" i="1"/>
  <c r="AD61" i="1"/>
  <c r="V61" i="1"/>
  <c r="R61" i="1"/>
  <c r="P61" i="1"/>
  <c r="DO60" i="1"/>
  <c r="DM60" i="1"/>
  <c r="DK60" i="1"/>
  <c r="DI60" i="1"/>
  <c r="DG60" i="1"/>
  <c r="DE60" i="1"/>
  <c r="DC60" i="1"/>
  <c r="CY60" i="1"/>
  <c r="CU60" i="1"/>
  <c r="CS60" i="1"/>
  <c r="CQ60" i="1"/>
  <c r="CO60" i="1"/>
  <c r="CM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U57" i="1" s="1"/>
  <c r="AS60" i="1"/>
  <c r="AQ60" i="1"/>
  <c r="AO60" i="1"/>
  <c r="AI60" i="1"/>
  <c r="AE60" i="1"/>
  <c r="AC60" i="1"/>
  <c r="AB60" i="1"/>
  <c r="DR60" i="1" s="1"/>
  <c r="DV60" i="1" s="1"/>
  <c r="W60" i="1"/>
  <c r="U60" i="1"/>
  <c r="S60" i="1"/>
  <c r="Q60" i="1"/>
  <c r="DR59" i="1"/>
  <c r="DV59" i="1" s="1"/>
  <c r="DO59" i="1"/>
  <c r="DM59" i="1"/>
  <c r="DK59" i="1"/>
  <c r="DI59" i="1"/>
  <c r="DG59" i="1"/>
  <c r="DE59" i="1"/>
  <c r="DE57" i="1" s="1"/>
  <c r="DC59" i="1"/>
  <c r="CY59" i="1"/>
  <c r="CU59" i="1"/>
  <c r="CS59" i="1"/>
  <c r="CQ59" i="1"/>
  <c r="CO59" i="1"/>
  <c r="CM59" i="1"/>
  <c r="CI59" i="1"/>
  <c r="CG59" i="1"/>
  <c r="CE59" i="1"/>
  <c r="CC59" i="1"/>
  <c r="CA59" i="1"/>
  <c r="CA57" i="1" s="1"/>
  <c r="BY59" i="1"/>
  <c r="BW59" i="1"/>
  <c r="BU59" i="1"/>
  <c r="BS59" i="1"/>
  <c r="BQ59" i="1"/>
  <c r="BO59" i="1"/>
  <c r="BO57" i="1" s="1"/>
  <c r="BM59" i="1"/>
  <c r="BK59" i="1"/>
  <c r="BI59" i="1"/>
  <c r="BG59" i="1"/>
  <c r="BE59" i="1"/>
  <c r="BC59" i="1"/>
  <c r="BC57" i="1" s="1"/>
  <c r="BA59" i="1"/>
  <c r="AY59" i="1"/>
  <c r="AW59" i="1"/>
  <c r="AU59" i="1"/>
  <c r="AS59" i="1"/>
  <c r="AQ59" i="1"/>
  <c r="AQ57" i="1" s="1"/>
  <c r="AO59" i="1"/>
  <c r="AI59" i="1"/>
  <c r="AE59" i="1"/>
  <c r="AC59" i="1"/>
  <c r="AB59" i="1"/>
  <c r="W59" i="1"/>
  <c r="U59" i="1"/>
  <c r="S59" i="1"/>
  <c r="Q59" i="1"/>
  <c r="DO58" i="1"/>
  <c r="DM58" i="1"/>
  <c r="DK58" i="1"/>
  <c r="DI58" i="1"/>
  <c r="DG58" i="1"/>
  <c r="DE58" i="1"/>
  <c r="DC58" i="1"/>
  <c r="CY58" i="1"/>
  <c r="CU58" i="1"/>
  <c r="CS58" i="1"/>
  <c r="CQ58" i="1"/>
  <c r="CO58" i="1"/>
  <c r="CM58" i="1"/>
  <c r="CI58" i="1"/>
  <c r="CI57" i="1" s="1"/>
  <c r="CG58" i="1"/>
  <c r="CE58" i="1"/>
  <c r="CC58" i="1"/>
  <c r="CA58" i="1"/>
  <c r="BY58" i="1"/>
  <c r="BW58" i="1"/>
  <c r="BW57" i="1" s="1"/>
  <c r="BU58" i="1"/>
  <c r="BS58" i="1"/>
  <c r="BQ58" i="1"/>
  <c r="BO58" i="1"/>
  <c r="BM58" i="1"/>
  <c r="BM57" i="1" s="1"/>
  <c r="BK58" i="1"/>
  <c r="BK57" i="1" s="1"/>
  <c r="BI58" i="1"/>
  <c r="BG58" i="1"/>
  <c r="BE58" i="1"/>
  <c r="BC58" i="1"/>
  <c r="BA58" i="1"/>
  <c r="AY58" i="1"/>
  <c r="AY57" i="1" s="1"/>
  <c r="AW58" i="1"/>
  <c r="AU58" i="1"/>
  <c r="AS58" i="1"/>
  <c r="AQ58" i="1"/>
  <c r="AO58" i="1"/>
  <c r="AI58" i="1"/>
  <c r="AI57" i="1" s="1"/>
  <c r="AE58" i="1"/>
  <c r="AC58" i="1"/>
  <c r="AB58" i="1"/>
  <c r="W58" i="1"/>
  <c r="U58" i="1"/>
  <c r="S58" i="1"/>
  <c r="Q58" i="1"/>
  <c r="DQ57" i="1"/>
  <c r="DP57" i="1"/>
  <c r="DN57" i="1"/>
  <c r="DL57" i="1"/>
  <c r="DJ57" i="1"/>
  <c r="DH57" i="1"/>
  <c r="DF57" i="1"/>
  <c r="DD57" i="1"/>
  <c r="DB57" i="1"/>
  <c r="CZ57" i="1"/>
  <c r="CY57" i="1"/>
  <c r="CX57" i="1"/>
  <c r="CV57" i="1"/>
  <c r="CT57" i="1"/>
  <c r="CR57" i="1"/>
  <c r="CP57" i="1"/>
  <c r="CN57" i="1"/>
  <c r="CL57" i="1"/>
  <c r="CK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M57" i="1"/>
  <c r="AL57" i="1"/>
  <c r="AK57" i="1"/>
  <c r="AJ57" i="1"/>
  <c r="AH57" i="1"/>
  <c r="AG57" i="1"/>
  <c r="AF57" i="1"/>
  <c r="AD57" i="1"/>
  <c r="V57" i="1"/>
  <c r="T57" i="1"/>
  <c r="S57" i="1"/>
  <c r="R57" i="1"/>
  <c r="P57" i="1"/>
  <c r="DO56" i="1"/>
  <c r="DM56" i="1"/>
  <c r="DM55" i="1" s="1"/>
  <c r="DK56" i="1"/>
  <c r="DI56" i="1"/>
  <c r="DI55" i="1" s="1"/>
  <c r="DG56" i="1"/>
  <c r="DG55" i="1" s="1"/>
  <c r="DE56" i="1"/>
  <c r="DE55" i="1" s="1"/>
  <c r="DC56" i="1"/>
  <c r="CY56" i="1"/>
  <c r="CU56" i="1"/>
  <c r="CU55" i="1" s="1"/>
  <c r="CS56" i="1"/>
  <c r="CS55" i="1" s="1"/>
  <c r="CQ56" i="1"/>
  <c r="CQ55" i="1" s="1"/>
  <c r="CO56" i="1"/>
  <c r="CO55" i="1" s="1"/>
  <c r="CM56" i="1"/>
  <c r="CI56" i="1"/>
  <c r="CG56" i="1"/>
  <c r="CG55" i="1" s="1"/>
  <c r="CE56" i="1"/>
  <c r="CE55" i="1" s="1"/>
  <c r="CC56" i="1"/>
  <c r="CC55" i="1" s="1"/>
  <c r="CA56" i="1"/>
  <c r="CA55" i="1" s="1"/>
  <c r="BY56" i="1"/>
  <c r="BW56" i="1"/>
  <c r="BW55" i="1" s="1"/>
  <c r="BU56" i="1"/>
  <c r="BU55" i="1" s="1"/>
  <c r="BS56" i="1"/>
  <c r="BS55" i="1" s="1"/>
  <c r="BQ56" i="1"/>
  <c r="BO56" i="1"/>
  <c r="BO55" i="1" s="1"/>
  <c r="BM56" i="1"/>
  <c r="BK56" i="1"/>
  <c r="BI56" i="1"/>
  <c r="BI55" i="1" s="1"/>
  <c r="BG56" i="1"/>
  <c r="BG55" i="1" s="1"/>
  <c r="BE56" i="1"/>
  <c r="BE55" i="1" s="1"/>
  <c r="BC56" i="1"/>
  <c r="BC55" i="1" s="1"/>
  <c r="BA56" i="1"/>
  <c r="AY56" i="1"/>
  <c r="AY55" i="1" s="1"/>
  <c r="AW56" i="1"/>
  <c r="AW55" i="1" s="1"/>
  <c r="AU56" i="1"/>
  <c r="AU55" i="1" s="1"/>
  <c r="AS56" i="1"/>
  <c r="AS55" i="1" s="1"/>
  <c r="AQ56" i="1"/>
  <c r="AQ55" i="1" s="1"/>
  <c r="AO56" i="1"/>
  <c r="AI56" i="1"/>
  <c r="AI55" i="1" s="1"/>
  <c r="AE56" i="1"/>
  <c r="AE55" i="1" s="1"/>
  <c r="AC56" i="1"/>
  <c r="AC55" i="1" s="1"/>
  <c r="AB56" i="1"/>
  <c r="W56" i="1"/>
  <c r="W55" i="1" s="1"/>
  <c r="T56" i="1"/>
  <c r="U56" i="1" s="1"/>
  <c r="U55" i="1" s="1"/>
  <c r="S56" i="1"/>
  <c r="Q56" i="1"/>
  <c r="DQ55" i="1"/>
  <c r="DP55" i="1"/>
  <c r="DO55" i="1"/>
  <c r="DN55" i="1"/>
  <c r="DL55" i="1"/>
  <c r="DK55" i="1"/>
  <c r="DJ55" i="1"/>
  <c r="DH55" i="1"/>
  <c r="DF55" i="1"/>
  <c r="DD55" i="1"/>
  <c r="DC55" i="1"/>
  <c r="DB55" i="1"/>
  <c r="CZ55" i="1"/>
  <c r="CY55" i="1"/>
  <c r="CX55" i="1"/>
  <c r="CV55" i="1"/>
  <c r="CT55" i="1"/>
  <c r="CR55" i="1"/>
  <c r="CP55" i="1"/>
  <c r="CN55" i="1"/>
  <c r="CM55" i="1"/>
  <c r="CL55" i="1"/>
  <c r="CK55" i="1"/>
  <c r="CJ55" i="1"/>
  <c r="CI55" i="1"/>
  <c r="CH55" i="1"/>
  <c r="CF55" i="1"/>
  <c r="CD55" i="1"/>
  <c r="CB55" i="1"/>
  <c r="BZ55" i="1"/>
  <c r="BY55" i="1"/>
  <c r="BX55" i="1"/>
  <c r="BV55" i="1"/>
  <c r="BT55" i="1"/>
  <c r="BR55" i="1"/>
  <c r="BQ55" i="1"/>
  <c r="BP55" i="1"/>
  <c r="BN55" i="1"/>
  <c r="BM55" i="1"/>
  <c r="BL55" i="1"/>
  <c r="BK55" i="1"/>
  <c r="BJ55" i="1"/>
  <c r="BH55" i="1"/>
  <c r="BF55" i="1"/>
  <c r="BD55" i="1"/>
  <c r="BB55" i="1"/>
  <c r="BA55" i="1"/>
  <c r="AZ55" i="1"/>
  <c r="AX55" i="1"/>
  <c r="AV55" i="1"/>
  <c r="AT55" i="1"/>
  <c r="AR55" i="1"/>
  <c r="AP55" i="1"/>
  <c r="AO55" i="1"/>
  <c r="AN55" i="1"/>
  <c r="AM55" i="1"/>
  <c r="AL55" i="1"/>
  <c r="AK55" i="1"/>
  <c r="AJ55" i="1"/>
  <c r="AH55" i="1"/>
  <c r="AG55" i="1"/>
  <c r="AF55" i="1"/>
  <c r="AD55" i="1"/>
  <c r="AB55" i="1"/>
  <c r="V55" i="1"/>
  <c r="T55" i="1"/>
  <c r="S55" i="1"/>
  <c r="R55" i="1"/>
  <c r="P55" i="1"/>
  <c r="DR54" i="1"/>
  <c r="DV54" i="1" s="1"/>
  <c r="DO54" i="1"/>
  <c r="DM54" i="1"/>
  <c r="DK54" i="1"/>
  <c r="DI54" i="1"/>
  <c r="DC54" i="1"/>
  <c r="CY54" i="1"/>
  <c r="CU54" i="1"/>
  <c r="CS54" i="1"/>
  <c r="CQ54" i="1"/>
  <c r="CO54" i="1"/>
  <c r="CI54" i="1"/>
  <c r="CE54" i="1"/>
  <c r="CC54" i="1"/>
  <c r="CA54" i="1"/>
  <c r="BY54" i="1"/>
  <c r="BW54" i="1"/>
  <c r="BU54" i="1"/>
  <c r="BQ54" i="1"/>
  <c r="BO54" i="1"/>
  <c r="BM54" i="1"/>
  <c r="AY54" i="1"/>
  <c r="AU54" i="1"/>
  <c r="AS54" i="1"/>
  <c r="AQ54" i="1"/>
  <c r="AO54" i="1"/>
  <c r="AI54" i="1"/>
  <c r="AE54" i="1"/>
  <c r="AC54" i="1"/>
  <c r="AB54" i="1"/>
  <c r="W54" i="1"/>
  <c r="U54" i="1"/>
  <c r="S54" i="1"/>
  <c r="Q54" i="1"/>
  <c r="DN53" i="1"/>
  <c r="DO53" i="1" s="1"/>
  <c r="DM53" i="1"/>
  <c r="DK53" i="1"/>
  <c r="DH53" i="1"/>
  <c r="DI53" i="1" s="1"/>
  <c r="DC53" i="1"/>
  <c r="CY53" i="1"/>
  <c r="CU53" i="1"/>
  <c r="CS53" i="1"/>
  <c r="CQ53" i="1"/>
  <c r="CO53" i="1"/>
  <c r="CI53" i="1"/>
  <c r="CE53" i="1"/>
  <c r="CC53" i="1"/>
  <c r="CA53" i="1"/>
  <c r="BY53" i="1"/>
  <c r="BW53" i="1"/>
  <c r="BU53" i="1"/>
  <c r="BQ53" i="1"/>
  <c r="BO53" i="1"/>
  <c r="BM53" i="1"/>
  <c r="AY53" i="1"/>
  <c r="AU53" i="1"/>
  <c r="AS53" i="1"/>
  <c r="AQ53" i="1"/>
  <c r="AO53" i="1"/>
  <c r="AI53" i="1"/>
  <c r="AE53" i="1"/>
  <c r="AC53" i="1"/>
  <c r="AB53" i="1"/>
  <c r="W53" i="1"/>
  <c r="U53" i="1"/>
  <c r="S53" i="1"/>
  <c r="Q53" i="1"/>
  <c r="DO52" i="1"/>
  <c r="DM52" i="1"/>
  <c r="DK52" i="1"/>
  <c r="DH52" i="1"/>
  <c r="DI52" i="1" s="1"/>
  <c r="DC52" i="1"/>
  <c r="CY52" i="1"/>
  <c r="CU52" i="1"/>
  <c r="CS52" i="1"/>
  <c r="CQ52" i="1"/>
  <c r="CO52" i="1"/>
  <c r="CI52" i="1"/>
  <c r="CE52" i="1"/>
  <c r="CC52" i="1"/>
  <c r="CA52" i="1"/>
  <c r="BY52" i="1"/>
  <c r="BW52" i="1"/>
  <c r="BU52" i="1"/>
  <c r="BQ52" i="1"/>
  <c r="BO52" i="1"/>
  <c r="BM52" i="1"/>
  <c r="AY52" i="1"/>
  <c r="AU52" i="1"/>
  <c r="AS52" i="1"/>
  <c r="AP52" i="1"/>
  <c r="AQ52" i="1" s="1"/>
  <c r="AO52" i="1"/>
  <c r="AI52" i="1"/>
  <c r="AE52" i="1"/>
  <c r="AC52" i="1"/>
  <c r="AB52" i="1"/>
  <c r="W52" i="1"/>
  <c r="U52" i="1"/>
  <c r="S52" i="1"/>
  <c r="Q52" i="1"/>
  <c r="DR51" i="1"/>
  <c r="DV51" i="1" s="1"/>
  <c r="DO51" i="1"/>
  <c r="DN51" i="1"/>
  <c r="DL51" i="1"/>
  <c r="DM51" i="1" s="1"/>
  <c r="DK51" i="1"/>
  <c r="DK50" i="1" s="1"/>
  <c r="DI51" i="1"/>
  <c r="DH51" i="1"/>
  <c r="DC51" i="1"/>
  <c r="CY51" i="1"/>
  <c r="CU51" i="1"/>
  <c r="CS51" i="1"/>
  <c r="CQ51" i="1"/>
  <c r="CQ50" i="1" s="1"/>
  <c r="CO51" i="1"/>
  <c r="CI51" i="1"/>
  <c r="CE51" i="1"/>
  <c r="CC51" i="1"/>
  <c r="CA51" i="1"/>
  <c r="BY51" i="1"/>
  <c r="BY50" i="1" s="1"/>
  <c r="BW51" i="1"/>
  <c r="BU51" i="1"/>
  <c r="BQ51" i="1"/>
  <c r="BO51" i="1"/>
  <c r="BM51" i="1"/>
  <c r="AY51" i="1"/>
  <c r="AY50" i="1" s="1"/>
  <c r="AU51" i="1"/>
  <c r="AS51" i="1"/>
  <c r="AP51" i="1"/>
  <c r="AQ51" i="1" s="1"/>
  <c r="AO51" i="1"/>
  <c r="AI51" i="1"/>
  <c r="AE51" i="1"/>
  <c r="AC51" i="1"/>
  <c r="AB51" i="1"/>
  <c r="W51" i="1"/>
  <c r="U51" i="1"/>
  <c r="S51" i="1"/>
  <c r="Q51" i="1"/>
  <c r="DQ50" i="1"/>
  <c r="DP50" i="1"/>
  <c r="DL50" i="1"/>
  <c r="DJ50" i="1"/>
  <c r="DG50" i="1"/>
  <c r="DF50" i="1"/>
  <c r="DE50" i="1"/>
  <c r="DD50" i="1"/>
  <c r="DB50" i="1"/>
  <c r="CZ50" i="1"/>
  <c r="CX50" i="1"/>
  <c r="CV50" i="1"/>
  <c r="CT50" i="1"/>
  <c r="CR50" i="1"/>
  <c r="CP50" i="1"/>
  <c r="CN50" i="1"/>
  <c r="CM50" i="1"/>
  <c r="CL50" i="1"/>
  <c r="CK50" i="1"/>
  <c r="CJ50" i="1"/>
  <c r="CH50" i="1"/>
  <c r="CG50" i="1"/>
  <c r="CF50" i="1"/>
  <c r="CD50" i="1"/>
  <c r="CB50" i="1"/>
  <c r="BZ50" i="1"/>
  <c r="BX50" i="1"/>
  <c r="BV50" i="1"/>
  <c r="BT50" i="1"/>
  <c r="BS50" i="1"/>
  <c r="BR50" i="1"/>
  <c r="BP50" i="1"/>
  <c r="BN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X50" i="1"/>
  <c r="AW50" i="1"/>
  <c r="AV50" i="1"/>
  <c r="AT50" i="1"/>
  <c r="AR50" i="1"/>
  <c r="AN50" i="1"/>
  <c r="AM50" i="1"/>
  <c r="AL50" i="1"/>
  <c r="AK50" i="1"/>
  <c r="AJ50" i="1"/>
  <c r="AH50" i="1"/>
  <c r="AG50" i="1"/>
  <c r="AF50" i="1"/>
  <c r="AD50" i="1"/>
  <c r="V50" i="1"/>
  <c r="T50" i="1"/>
  <c r="R50" i="1"/>
  <c r="P50" i="1"/>
  <c r="DO49" i="1"/>
  <c r="DM49" i="1"/>
  <c r="DK49" i="1"/>
  <c r="DI49" i="1"/>
  <c r="DG49" i="1"/>
  <c r="DE49" i="1"/>
  <c r="DC49" i="1"/>
  <c r="CY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I49" i="1"/>
  <c r="AE49" i="1"/>
  <c r="AC49" i="1"/>
  <c r="DS49" i="1" s="1"/>
  <c r="DW49" i="1" s="1"/>
  <c r="AB49" i="1"/>
  <c r="DR49" i="1" s="1"/>
  <c r="DV49" i="1" s="1"/>
  <c r="W49" i="1"/>
  <c r="U49" i="1"/>
  <c r="S49" i="1"/>
  <c r="Q49" i="1"/>
  <c r="DO48" i="1"/>
  <c r="DM48" i="1"/>
  <c r="DK48" i="1"/>
  <c r="DI48" i="1"/>
  <c r="DG48" i="1"/>
  <c r="DE48" i="1"/>
  <c r="DC48" i="1"/>
  <c r="CY48" i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I48" i="1"/>
  <c r="AE48" i="1"/>
  <c r="AC48" i="1"/>
  <c r="AB48" i="1"/>
  <c r="DR48" i="1" s="1"/>
  <c r="DV48" i="1" s="1"/>
  <c r="W48" i="1"/>
  <c r="U48" i="1"/>
  <c r="S48" i="1"/>
  <c r="Q48" i="1"/>
  <c r="DO47" i="1"/>
  <c r="DM47" i="1"/>
  <c r="DK47" i="1"/>
  <c r="DI47" i="1"/>
  <c r="DG47" i="1"/>
  <c r="DE47" i="1"/>
  <c r="DC47" i="1"/>
  <c r="CY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I47" i="1"/>
  <c r="AE47" i="1"/>
  <c r="AC47" i="1"/>
  <c r="AB47" i="1"/>
  <c r="DR47" i="1" s="1"/>
  <c r="DV47" i="1" s="1"/>
  <c r="W47" i="1"/>
  <c r="U47" i="1"/>
  <c r="S47" i="1"/>
  <c r="Q47" i="1"/>
  <c r="DO46" i="1"/>
  <c r="DM46" i="1"/>
  <c r="DK46" i="1"/>
  <c r="DI46" i="1"/>
  <c r="DG46" i="1"/>
  <c r="DE46" i="1"/>
  <c r="DC46" i="1"/>
  <c r="CY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I46" i="1"/>
  <c r="AE46" i="1"/>
  <c r="AC46" i="1"/>
  <c r="AB46" i="1"/>
  <c r="DR46" i="1" s="1"/>
  <c r="DV46" i="1" s="1"/>
  <c r="W46" i="1"/>
  <c r="U46" i="1"/>
  <c r="S46" i="1"/>
  <c r="Q46" i="1"/>
  <c r="DO45" i="1"/>
  <c r="DN45" i="1"/>
  <c r="DM45" i="1"/>
  <c r="DK45" i="1"/>
  <c r="DI45" i="1"/>
  <c r="DG45" i="1"/>
  <c r="DE45" i="1"/>
  <c r="DE43" i="1" s="1"/>
  <c r="DC45" i="1"/>
  <c r="CY45" i="1"/>
  <c r="CU45" i="1"/>
  <c r="CS45" i="1"/>
  <c r="CQ45" i="1"/>
  <c r="CO45" i="1"/>
  <c r="CO43" i="1" s="1"/>
  <c r="CM45" i="1"/>
  <c r="CK45" i="1"/>
  <c r="CI45" i="1"/>
  <c r="CG45" i="1"/>
  <c r="CE45" i="1"/>
  <c r="CC45" i="1"/>
  <c r="CC43" i="1" s="1"/>
  <c r="CA45" i="1"/>
  <c r="BY45" i="1"/>
  <c r="BW45" i="1"/>
  <c r="BU45" i="1"/>
  <c r="BS45" i="1"/>
  <c r="BQ45" i="1"/>
  <c r="BQ43" i="1" s="1"/>
  <c r="BO45" i="1"/>
  <c r="BM45" i="1"/>
  <c r="BK45" i="1"/>
  <c r="BI45" i="1"/>
  <c r="BG45" i="1"/>
  <c r="BE45" i="1"/>
  <c r="BE43" i="1" s="1"/>
  <c r="BC45" i="1"/>
  <c r="BA45" i="1"/>
  <c r="AY45" i="1"/>
  <c r="AW45" i="1"/>
  <c r="AU45" i="1"/>
  <c r="AS45" i="1"/>
  <c r="AS43" i="1" s="1"/>
  <c r="AQ45" i="1"/>
  <c r="AO45" i="1"/>
  <c r="AI45" i="1"/>
  <c r="AE45" i="1"/>
  <c r="AC45" i="1"/>
  <c r="AB45" i="1"/>
  <c r="W45" i="1"/>
  <c r="U45" i="1"/>
  <c r="S45" i="1"/>
  <c r="Q45" i="1"/>
  <c r="DN44" i="1"/>
  <c r="DO44" i="1" s="1"/>
  <c r="DO43" i="1" s="1"/>
  <c r="DL44" i="1"/>
  <c r="DK44" i="1"/>
  <c r="DI44" i="1"/>
  <c r="DG44" i="1"/>
  <c r="DE44" i="1"/>
  <c r="DC44" i="1"/>
  <c r="DC43" i="1" s="1"/>
  <c r="CY44" i="1"/>
  <c r="CY43" i="1" s="1"/>
  <c r="CU44" i="1"/>
  <c r="CS44" i="1"/>
  <c r="CQ44" i="1"/>
  <c r="CO44" i="1"/>
  <c r="CM44" i="1"/>
  <c r="CK44" i="1"/>
  <c r="CK43" i="1" s="1"/>
  <c r="CI44" i="1"/>
  <c r="CG44" i="1"/>
  <c r="CE44" i="1"/>
  <c r="CC44" i="1"/>
  <c r="CA44" i="1"/>
  <c r="CA43" i="1" s="1"/>
  <c r="BY44" i="1"/>
  <c r="BY43" i="1" s="1"/>
  <c r="BW44" i="1"/>
  <c r="BU44" i="1"/>
  <c r="BS44" i="1"/>
  <c r="BQ44" i="1"/>
  <c r="BO44" i="1"/>
  <c r="BO43" i="1" s="1"/>
  <c r="BM44" i="1"/>
  <c r="BM43" i="1" s="1"/>
  <c r="BK44" i="1"/>
  <c r="BI44" i="1"/>
  <c r="BG44" i="1"/>
  <c r="BE44" i="1"/>
  <c r="BC44" i="1"/>
  <c r="BC43" i="1" s="1"/>
  <c r="BA44" i="1"/>
  <c r="BA43" i="1" s="1"/>
  <c r="AY44" i="1"/>
  <c r="AW44" i="1"/>
  <c r="AU44" i="1"/>
  <c r="AS44" i="1"/>
  <c r="AQ44" i="1"/>
  <c r="AQ43" i="1" s="1"/>
  <c r="AO44" i="1"/>
  <c r="AO43" i="1" s="1"/>
  <c r="AI44" i="1"/>
  <c r="AE44" i="1"/>
  <c r="AC44" i="1"/>
  <c r="AB44" i="1"/>
  <c r="W44" i="1"/>
  <c r="W43" i="1" s="1"/>
  <c r="U44" i="1"/>
  <c r="U43" i="1" s="1"/>
  <c r="S44" i="1"/>
  <c r="Q44" i="1"/>
  <c r="DQ43" i="1"/>
  <c r="DP43" i="1"/>
  <c r="DJ43" i="1"/>
  <c r="DH43" i="1"/>
  <c r="DF43" i="1"/>
  <c r="DD43" i="1"/>
  <c r="DB43" i="1"/>
  <c r="CZ43" i="1"/>
  <c r="CX43" i="1"/>
  <c r="CV43" i="1"/>
  <c r="CT43" i="1"/>
  <c r="CR43" i="1"/>
  <c r="CP43" i="1"/>
  <c r="CN43" i="1"/>
  <c r="CM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M43" i="1"/>
  <c r="AL43" i="1"/>
  <c r="AK43" i="1"/>
  <c r="AJ43" i="1"/>
  <c r="AH43" i="1"/>
  <c r="AG43" i="1"/>
  <c r="AF43" i="1"/>
  <c r="AD43" i="1"/>
  <c r="V43" i="1"/>
  <c r="T43" i="1"/>
  <c r="R43" i="1"/>
  <c r="P43" i="1"/>
  <c r="DO42" i="1"/>
  <c r="DM42" i="1"/>
  <c r="DK42" i="1"/>
  <c r="DI42" i="1"/>
  <c r="DG42" i="1"/>
  <c r="DE42" i="1"/>
  <c r="DC42" i="1"/>
  <c r="CY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P42" i="1"/>
  <c r="AO42" i="1"/>
  <c r="AI42" i="1"/>
  <c r="AE42" i="1"/>
  <c r="AC42" i="1"/>
  <c r="AB42" i="1"/>
  <c r="DR42" i="1" s="1"/>
  <c r="DV42" i="1" s="1"/>
  <c r="W42" i="1"/>
  <c r="U42" i="1"/>
  <c r="S42" i="1"/>
  <c r="Q42" i="1"/>
  <c r="DN41" i="1"/>
  <c r="DO41" i="1" s="1"/>
  <c r="DL41" i="1"/>
  <c r="DM41" i="1" s="1"/>
  <c r="DK41" i="1"/>
  <c r="DH41" i="1"/>
  <c r="DI41" i="1" s="1"/>
  <c r="DG41" i="1"/>
  <c r="DE41" i="1"/>
  <c r="DC41" i="1"/>
  <c r="CY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P41" i="1"/>
  <c r="AO41" i="1"/>
  <c r="AI41" i="1"/>
  <c r="AE41" i="1"/>
  <c r="AC41" i="1"/>
  <c r="AB41" i="1"/>
  <c r="W41" i="1"/>
  <c r="U41" i="1"/>
  <c r="S41" i="1"/>
  <c r="Q41" i="1"/>
  <c r="DN40" i="1"/>
  <c r="DO40" i="1" s="1"/>
  <c r="DM40" i="1"/>
  <c r="DK40" i="1"/>
  <c r="DI40" i="1"/>
  <c r="DG40" i="1"/>
  <c r="DE40" i="1"/>
  <c r="DC40" i="1"/>
  <c r="CY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U40" i="1"/>
  <c r="AS40" i="1"/>
  <c r="AQ40" i="1"/>
  <c r="AO40" i="1"/>
  <c r="AI40" i="1"/>
  <c r="AE40" i="1"/>
  <c r="AC40" i="1"/>
  <c r="AB40" i="1"/>
  <c r="DR40" i="1" s="1"/>
  <c r="DV40" i="1" s="1"/>
  <c r="W40" i="1"/>
  <c r="U40" i="1"/>
  <c r="S40" i="1"/>
  <c r="Q40" i="1"/>
  <c r="DN39" i="1"/>
  <c r="DO39" i="1" s="1"/>
  <c r="DL39" i="1"/>
  <c r="DM39" i="1" s="1"/>
  <c r="DK39" i="1"/>
  <c r="DH39" i="1"/>
  <c r="DI39" i="1" s="1"/>
  <c r="DG39" i="1"/>
  <c r="DE39" i="1"/>
  <c r="DC39" i="1"/>
  <c r="CY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I39" i="1"/>
  <c r="AE39" i="1"/>
  <c r="AC39" i="1"/>
  <c r="AB39" i="1"/>
  <c r="W39" i="1"/>
  <c r="U39" i="1"/>
  <c r="S39" i="1"/>
  <c r="Q39" i="1"/>
  <c r="DO38" i="1"/>
  <c r="DN38" i="1"/>
  <c r="DM38" i="1"/>
  <c r="DK38" i="1"/>
  <c r="DI38" i="1"/>
  <c r="DG38" i="1"/>
  <c r="DE38" i="1"/>
  <c r="DC38" i="1"/>
  <c r="CY38" i="1"/>
  <c r="CY36" i="1" s="1"/>
  <c r="CU38" i="1"/>
  <c r="CS38" i="1"/>
  <c r="CQ38" i="1"/>
  <c r="CO38" i="1"/>
  <c r="CO36" i="1" s="1"/>
  <c r="CM38" i="1"/>
  <c r="CK38" i="1"/>
  <c r="CI38" i="1"/>
  <c r="CG38" i="1"/>
  <c r="CE38" i="1"/>
  <c r="CC38" i="1"/>
  <c r="CC36" i="1" s="1"/>
  <c r="CA38" i="1"/>
  <c r="BY38" i="1"/>
  <c r="BW38" i="1"/>
  <c r="BU38" i="1"/>
  <c r="BS38" i="1"/>
  <c r="BQ38" i="1"/>
  <c r="BQ36" i="1" s="1"/>
  <c r="BN38" i="1"/>
  <c r="BO38" i="1" s="1"/>
  <c r="BM38" i="1"/>
  <c r="BK38" i="1"/>
  <c r="BI38" i="1"/>
  <c r="BG38" i="1"/>
  <c r="BE38" i="1"/>
  <c r="BC38" i="1"/>
  <c r="BA38" i="1"/>
  <c r="AY38" i="1"/>
  <c r="AW38" i="1"/>
  <c r="AU38" i="1"/>
  <c r="AS38" i="1"/>
  <c r="AP38" i="1"/>
  <c r="AQ38" i="1" s="1"/>
  <c r="AO38" i="1"/>
  <c r="AI38" i="1"/>
  <c r="AE38" i="1"/>
  <c r="AC38" i="1"/>
  <c r="AB38" i="1"/>
  <c r="W38" i="1"/>
  <c r="U38" i="1"/>
  <c r="S38" i="1"/>
  <c r="Q38" i="1"/>
  <c r="DN37" i="1"/>
  <c r="DO37" i="1" s="1"/>
  <c r="DL37" i="1"/>
  <c r="DM37" i="1" s="1"/>
  <c r="DM36" i="1" s="1"/>
  <c r="DK37" i="1"/>
  <c r="DI37" i="1"/>
  <c r="DE37" i="1"/>
  <c r="DC37" i="1"/>
  <c r="CY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W36" i="1" s="1"/>
  <c r="BU37" i="1"/>
  <c r="BS37" i="1"/>
  <c r="BQ37" i="1"/>
  <c r="BO37" i="1"/>
  <c r="BM37" i="1"/>
  <c r="BI37" i="1"/>
  <c r="BG37" i="1"/>
  <c r="BE37" i="1"/>
  <c r="BC37" i="1"/>
  <c r="BA37" i="1"/>
  <c r="BA36" i="1" s="1"/>
  <c r="AY37" i="1"/>
  <c r="AW37" i="1"/>
  <c r="AU37" i="1"/>
  <c r="AS37" i="1"/>
  <c r="AP37" i="1"/>
  <c r="AO37" i="1"/>
  <c r="AI37" i="1"/>
  <c r="AE37" i="1"/>
  <c r="AC37" i="1"/>
  <c r="AC36" i="1" s="1"/>
  <c r="AB37" i="1"/>
  <c r="W37" i="1"/>
  <c r="U37" i="1"/>
  <c r="S37" i="1"/>
  <c r="Q37" i="1"/>
  <c r="DQ36" i="1"/>
  <c r="DP36" i="1"/>
  <c r="DL36" i="1"/>
  <c r="DJ36" i="1"/>
  <c r="DF36" i="1"/>
  <c r="DD36" i="1"/>
  <c r="DB36" i="1"/>
  <c r="CZ36" i="1"/>
  <c r="CX36" i="1"/>
  <c r="CV36" i="1"/>
  <c r="CU36" i="1"/>
  <c r="CT36" i="1"/>
  <c r="CR36" i="1"/>
  <c r="CP36" i="1"/>
  <c r="CN36" i="1"/>
  <c r="CL36" i="1"/>
  <c r="CJ36" i="1"/>
  <c r="CI36" i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K36" i="1"/>
  <c r="BJ36" i="1"/>
  <c r="BH36" i="1"/>
  <c r="BF36" i="1"/>
  <c r="BD36" i="1"/>
  <c r="BB36" i="1"/>
  <c r="AZ36" i="1"/>
  <c r="AX36" i="1"/>
  <c r="AV36" i="1"/>
  <c r="AT36" i="1"/>
  <c r="AR36" i="1"/>
  <c r="AN36" i="1"/>
  <c r="AM36" i="1"/>
  <c r="AL36" i="1"/>
  <c r="AK36" i="1"/>
  <c r="AJ36" i="1"/>
  <c r="AH36" i="1"/>
  <c r="AG36" i="1"/>
  <c r="AF36" i="1"/>
  <c r="AD36" i="1"/>
  <c r="V36" i="1"/>
  <c r="T36" i="1"/>
  <c r="S36" i="1"/>
  <c r="R36" i="1"/>
  <c r="P36" i="1"/>
  <c r="DN35" i="1"/>
  <c r="DO35" i="1" s="1"/>
  <c r="DM35" i="1"/>
  <c r="DL35" i="1"/>
  <c r="DK35" i="1"/>
  <c r="DI35" i="1"/>
  <c r="DE35" i="1"/>
  <c r="DE33" i="1" s="1"/>
  <c r="DC35" i="1"/>
  <c r="CY35" i="1"/>
  <c r="CU35" i="1"/>
  <c r="CS35" i="1"/>
  <c r="CS33" i="1" s="1"/>
  <c r="CQ35" i="1"/>
  <c r="CO35" i="1"/>
  <c r="CM35" i="1"/>
  <c r="CK35" i="1"/>
  <c r="CI35" i="1"/>
  <c r="CG35" i="1"/>
  <c r="CG33" i="1" s="1"/>
  <c r="CE35" i="1"/>
  <c r="CC35" i="1"/>
  <c r="CA35" i="1"/>
  <c r="BY35" i="1"/>
  <c r="BY33" i="1" s="1"/>
  <c r="BW35" i="1"/>
  <c r="BU35" i="1"/>
  <c r="BU33" i="1" s="1"/>
  <c r="BS35" i="1"/>
  <c r="BQ35" i="1"/>
  <c r="BO35" i="1"/>
  <c r="BM35" i="1"/>
  <c r="BI35" i="1"/>
  <c r="BG35" i="1"/>
  <c r="BE35" i="1"/>
  <c r="BC35" i="1"/>
  <c r="BA35" i="1"/>
  <c r="AY35" i="1"/>
  <c r="AW35" i="1"/>
  <c r="AW33" i="1" s="1"/>
  <c r="AU35" i="1"/>
  <c r="AU33" i="1" s="1"/>
  <c r="AS35" i="1"/>
  <c r="AQ35" i="1"/>
  <c r="AO35" i="1"/>
  <c r="AI35" i="1"/>
  <c r="AI33" i="1" s="1"/>
  <c r="AE35" i="1"/>
  <c r="AC35" i="1"/>
  <c r="AB35" i="1"/>
  <c r="W35" i="1"/>
  <c r="U35" i="1"/>
  <c r="S35" i="1"/>
  <c r="Q35" i="1"/>
  <c r="DO34" i="1"/>
  <c r="DM34" i="1"/>
  <c r="DK34" i="1"/>
  <c r="DI34" i="1"/>
  <c r="DI33" i="1" s="1"/>
  <c r="DG34" i="1"/>
  <c r="DG33" i="1" s="1"/>
  <c r="DE34" i="1"/>
  <c r="DC34" i="1"/>
  <c r="DC33" i="1" s="1"/>
  <c r="CY34" i="1"/>
  <c r="CU34" i="1"/>
  <c r="CU33" i="1" s="1"/>
  <c r="CS34" i="1"/>
  <c r="CQ34" i="1"/>
  <c r="CQ33" i="1" s="1"/>
  <c r="CO34" i="1"/>
  <c r="CM34" i="1"/>
  <c r="CM33" i="1" s="1"/>
  <c r="CK34" i="1"/>
  <c r="CI34" i="1"/>
  <c r="CI33" i="1" s="1"/>
  <c r="CG34" i="1"/>
  <c r="CE34" i="1"/>
  <c r="CE33" i="1" s="1"/>
  <c r="CC34" i="1"/>
  <c r="CA34" i="1"/>
  <c r="CA33" i="1" s="1"/>
  <c r="BY34" i="1"/>
  <c r="BW34" i="1"/>
  <c r="BW33" i="1" s="1"/>
  <c r="BU34" i="1"/>
  <c r="BS34" i="1"/>
  <c r="BS33" i="1" s="1"/>
  <c r="BQ34" i="1"/>
  <c r="BO34" i="1"/>
  <c r="BO33" i="1" s="1"/>
  <c r="BM34" i="1"/>
  <c r="BK34" i="1"/>
  <c r="BK33" i="1" s="1"/>
  <c r="BI34" i="1"/>
  <c r="BG34" i="1"/>
  <c r="BE34" i="1"/>
  <c r="BC34" i="1"/>
  <c r="BC33" i="1" s="1"/>
  <c r="BA34" i="1"/>
  <c r="BA33" i="1" s="1"/>
  <c r="AY34" i="1"/>
  <c r="AU34" i="1"/>
  <c r="AS34" i="1"/>
  <c r="AQ34" i="1"/>
  <c r="AO34" i="1"/>
  <c r="AO33" i="1" s="1"/>
  <c r="AI34" i="1"/>
  <c r="AE34" i="1"/>
  <c r="AE33" i="1" s="1"/>
  <c r="AC34" i="1"/>
  <c r="AB34" i="1"/>
  <c r="DR34" i="1" s="1"/>
  <c r="W34" i="1"/>
  <c r="U34" i="1"/>
  <c r="U33" i="1" s="1"/>
  <c r="S34" i="1"/>
  <c r="S33" i="1" s="1"/>
  <c r="Q34" i="1"/>
  <c r="Q33" i="1" s="1"/>
  <c r="DQ33" i="1"/>
  <c r="DP33" i="1"/>
  <c r="DL33" i="1"/>
  <c r="DJ33" i="1"/>
  <c r="DH33" i="1"/>
  <c r="DF33" i="1"/>
  <c r="DD33" i="1"/>
  <c r="DB33" i="1"/>
  <c r="CZ33" i="1"/>
  <c r="CX33" i="1"/>
  <c r="CV33" i="1"/>
  <c r="CT33" i="1"/>
  <c r="CR33" i="1"/>
  <c r="CP33" i="1"/>
  <c r="CN33" i="1"/>
  <c r="CL33" i="1"/>
  <c r="CJ33" i="1"/>
  <c r="CH33" i="1"/>
  <c r="CF33" i="1"/>
  <c r="CD33" i="1"/>
  <c r="CC33" i="1"/>
  <c r="CB33" i="1"/>
  <c r="BZ33" i="1"/>
  <c r="BX33" i="1"/>
  <c r="BV33" i="1"/>
  <c r="BT33" i="1"/>
  <c r="BR33" i="1"/>
  <c r="BQ33" i="1"/>
  <c r="BP33" i="1"/>
  <c r="BN33" i="1"/>
  <c r="BM33" i="1"/>
  <c r="BL33" i="1"/>
  <c r="BJ33" i="1"/>
  <c r="BH33" i="1"/>
  <c r="BF33" i="1"/>
  <c r="BE33" i="1"/>
  <c r="BD33" i="1"/>
  <c r="BB33" i="1"/>
  <c r="AZ33" i="1"/>
  <c r="AX33" i="1"/>
  <c r="AV33" i="1"/>
  <c r="AT33" i="1"/>
  <c r="AR33" i="1"/>
  <c r="AQ33" i="1"/>
  <c r="AP33" i="1"/>
  <c r="AN33" i="1"/>
  <c r="AM33" i="1"/>
  <c r="AL33" i="1"/>
  <c r="AK33" i="1"/>
  <c r="AJ33" i="1"/>
  <c r="AH33" i="1"/>
  <c r="AG33" i="1"/>
  <c r="AF33" i="1"/>
  <c r="AD33" i="1"/>
  <c r="W33" i="1"/>
  <c r="V33" i="1"/>
  <c r="T33" i="1"/>
  <c r="R33" i="1"/>
  <c r="P33" i="1"/>
  <c r="CK32" i="1"/>
  <c r="AO32" i="1"/>
  <c r="AE32" i="1"/>
  <c r="AC32" i="1"/>
  <c r="AB32" i="1"/>
  <c r="DR32" i="1" s="1"/>
  <c r="DV32" i="1" s="1"/>
  <c r="W32" i="1"/>
  <c r="U32" i="1"/>
  <c r="S32" i="1"/>
  <c r="Q32" i="1"/>
  <c r="DO31" i="1"/>
  <c r="DM31" i="1"/>
  <c r="DK31" i="1"/>
  <c r="DI31" i="1"/>
  <c r="DG31" i="1"/>
  <c r="DE31" i="1"/>
  <c r="DC31" i="1"/>
  <c r="CY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U31" i="1"/>
  <c r="AS31" i="1"/>
  <c r="AP31" i="1"/>
  <c r="AO31" i="1"/>
  <c r="AI31" i="1"/>
  <c r="AE31" i="1"/>
  <c r="AC31" i="1"/>
  <c r="AB31" i="1"/>
  <c r="DR31" i="1" s="1"/>
  <c r="DV31" i="1" s="1"/>
  <c r="W31" i="1"/>
  <c r="U31" i="1"/>
  <c r="S31" i="1"/>
  <c r="Q31" i="1"/>
  <c r="DN30" i="1"/>
  <c r="DO30" i="1" s="1"/>
  <c r="DM30" i="1"/>
  <c r="DK30" i="1"/>
  <c r="DH30" i="1"/>
  <c r="DI30" i="1" s="1"/>
  <c r="DE30" i="1"/>
  <c r="DC30" i="1"/>
  <c r="CY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I30" i="1"/>
  <c r="BE30" i="1"/>
  <c r="BC30" i="1"/>
  <c r="BA30" i="1"/>
  <c r="AY30" i="1"/>
  <c r="AU30" i="1"/>
  <c r="AS30" i="1"/>
  <c r="AQ30" i="1"/>
  <c r="AO30" i="1"/>
  <c r="AI30" i="1"/>
  <c r="AE30" i="1"/>
  <c r="AC30" i="1"/>
  <c r="AB30" i="1"/>
  <c r="W30" i="1"/>
  <c r="U30" i="1"/>
  <c r="S30" i="1"/>
  <c r="Q30" i="1"/>
  <c r="DN29" i="1"/>
  <c r="DO29" i="1" s="1"/>
  <c r="DM29" i="1"/>
  <c r="DK29" i="1"/>
  <c r="DI29" i="1"/>
  <c r="DG29" i="1"/>
  <c r="DE29" i="1"/>
  <c r="DC29" i="1"/>
  <c r="CY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P29" i="1"/>
  <c r="AO29" i="1"/>
  <c r="AI29" i="1"/>
  <c r="AE29" i="1"/>
  <c r="AC29" i="1"/>
  <c r="AB29" i="1"/>
  <c r="DR29" i="1" s="1"/>
  <c r="DV29" i="1" s="1"/>
  <c r="W29" i="1"/>
  <c r="U29" i="1"/>
  <c r="S29" i="1"/>
  <c r="DS29" i="1" s="1"/>
  <c r="DW29" i="1" s="1"/>
  <c r="Q29" i="1"/>
  <c r="DN28" i="1"/>
  <c r="DO28" i="1" s="1"/>
  <c r="DM28" i="1"/>
  <c r="DK28" i="1"/>
  <c r="DI28" i="1"/>
  <c r="DH28" i="1"/>
  <c r="DG28" i="1"/>
  <c r="DE28" i="1"/>
  <c r="DC28" i="1"/>
  <c r="CY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I28" i="1"/>
  <c r="AE28" i="1"/>
  <c r="AC28" i="1"/>
  <c r="AB28" i="1"/>
  <c r="DR28" i="1" s="1"/>
  <c r="DV28" i="1" s="1"/>
  <c r="W28" i="1"/>
  <c r="U28" i="1"/>
  <c r="S28" i="1"/>
  <c r="Q28" i="1"/>
  <c r="DN27" i="1"/>
  <c r="DO27" i="1" s="1"/>
  <c r="DM27" i="1"/>
  <c r="DK27" i="1"/>
  <c r="DH27" i="1"/>
  <c r="DI27" i="1" s="1"/>
  <c r="DG27" i="1"/>
  <c r="DE27" i="1"/>
  <c r="DC27" i="1"/>
  <c r="CY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P27" i="1"/>
  <c r="AO27" i="1"/>
  <c r="AI27" i="1"/>
  <c r="AE27" i="1"/>
  <c r="AC27" i="1"/>
  <c r="AB27" i="1"/>
  <c r="W27" i="1"/>
  <c r="U27" i="1"/>
  <c r="S27" i="1"/>
  <c r="Q27" i="1"/>
  <c r="DN26" i="1"/>
  <c r="DO26" i="1" s="1"/>
  <c r="DM26" i="1"/>
  <c r="DK26" i="1"/>
  <c r="DI26" i="1"/>
  <c r="DG26" i="1"/>
  <c r="DE26" i="1"/>
  <c r="DC26" i="1"/>
  <c r="CY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U26" i="1"/>
  <c r="AS26" i="1"/>
  <c r="AQ26" i="1"/>
  <c r="AO26" i="1"/>
  <c r="AI26" i="1"/>
  <c r="AE26" i="1"/>
  <c r="AC26" i="1"/>
  <c r="AB26" i="1"/>
  <c r="W26" i="1"/>
  <c r="U26" i="1"/>
  <c r="S26" i="1"/>
  <c r="Q26" i="1"/>
  <c r="DN25" i="1"/>
  <c r="DO25" i="1" s="1"/>
  <c r="DL25" i="1"/>
  <c r="DM25" i="1" s="1"/>
  <c r="DK25" i="1"/>
  <c r="DI25" i="1"/>
  <c r="DH25" i="1"/>
  <c r="DG25" i="1"/>
  <c r="DE25" i="1"/>
  <c r="DC25" i="1"/>
  <c r="CX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I25" i="1"/>
  <c r="AE25" i="1"/>
  <c r="AC25" i="1"/>
  <c r="AB25" i="1"/>
  <c r="W25" i="1"/>
  <c r="U25" i="1"/>
  <c r="S25" i="1"/>
  <c r="Q25" i="1"/>
  <c r="DR24" i="1"/>
  <c r="DV24" i="1" s="1"/>
  <c r="DO24" i="1"/>
  <c r="DM24" i="1"/>
  <c r="DK24" i="1"/>
  <c r="DI24" i="1"/>
  <c r="DE24" i="1"/>
  <c r="DC24" i="1"/>
  <c r="CY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I24" i="1"/>
  <c r="BG24" i="1"/>
  <c r="BE24" i="1"/>
  <c r="BC24" i="1"/>
  <c r="BA24" i="1"/>
  <c r="AY24" i="1"/>
  <c r="AW24" i="1"/>
  <c r="AU24" i="1"/>
  <c r="AS24" i="1"/>
  <c r="AQ24" i="1"/>
  <c r="AO24" i="1"/>
  <c r="AI24" i="1"/>
  <c r="AE24" i="1"/>
  <c r="AC24" i="1"/>
  <c r="W24" i="1"/>
  <c r="U24" i="1"/>
  <c r="S24" i="1"/>
  <c r="Q24" i="1"/>
  <c r="DO23" i="1"/>
  <c r="DM23" i="1"/>
  <c r="DK23" i="1"/>
  <c r="DI23" i="1"/>
  <c r="DG23" i="1"/>
  <c r="DE23" i="1"/>
  <c r="DC23" i="1"/>
  <c r="CY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I23" i="1"/>
  <c r="AE23" i="1"/>
  <c r="AC23" i="1"/>
  <c r="AB23" i="1"/>
  <c r="DR23" i="1" s="1"/>
  <c r="DV23" i="1" s="1"/>
  <c r="W23" i="1"/>
  <c r="U23" i="1"/>
  <c r="S23" i="1"/>
  <c r="Q23" i="1"/>
  <c r="DO22" i="1"/>
  <c r="DN22" i="1"/>
  <c r="DM22" i="1"/>
  <c r="DK22" i="1"/>
  <c r="DI22" i="1"/>
  <c r="DG22" i="1"/>
  <c r="DE22" i="1"/>
  <c r="DC22" i="1"/>
  <c r="CY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R22" i="1"/>
  <c r="BS22" i="1" s="1"/>
  <c r="BQ22" i="1"/>
  <c r="BO22" i="1"/>
  <c r="BM22" i="1"/>
  <c r="BK22" i="1"/>
  <c r="BJ22" i="1"/>
  <c r="BG22" i="1"/>
  <c r="BE22" i="1"/>
  <c r="BC22" i="1"/>
  <c r="BA22" i="1"/>
  <c r="AY22" i="1"/>
  <c r="AW22" i="1"/>
  <c r="AU22" i="1"/>
  <c r="AS22" i="1"/>
  <c r="AQ22" i="1"/>
  <c r="AO22" i="1"/>
  <c r="AI22" i="1"/>
  <c r="AE22" i="1"/>
  <c r="AC22" i="1"/>
  <c r="AB22" i="1"/>
  <c r="DR22" i="1" s="1"/>
  <c r="DV22" i="1" s="1"/>
  <c r="W22" i="1"/>
  <c r="U22" i="1"/>
  <c r="S22" i="1"/>
  <c r="Q22" i="1"/>
  <c r="DN21" i="1"/>
  <c r="DO21" i="1" s="1"/>
  <c r="DL21" i="1"/>
  <c r="DM21" i="1" s="1"/>
  <c r="DK21" i="1"/>
  <c r="DI21" i="1"/>
  <c r="DH21" i="1"/>
  <c r="DG21" i="1"/>
  <c r="DE21" i="1"/>
  <c r="DC21" i="1"/>
  <c r="CY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J21" i="1"/>
  <c r="BG21" i="1"/>
  <c r="BE21" i="1"/>
  <c r="BC21" i="1"/>
  <c r="BA21" i="1"/>
  <c r="AY21" i="1"/>
  <c r="AW21" i="1"/>
  <c r="AU21" i="1"/>
  <c r="AS21" i="1"/>
  <c r="AQ21" i="1"/>
  <c r="AO21" i="1"/>
  <c r="AI21" i="1"/>
  <c r="AE21" i="1"/>
  <c r="AC21" i="1"/>
  <c r="AB21" i="1"/>
  <c r="W21" i="1"/>
  <c r="U21" i="1"/>
  <c r="S21" i="1"/>
  <c r="Q21" i="1"/>
  <c r="DO20" i="1"/>
  <c r="DN20" i="1"/>
  <c r="DL20" i="1"/>
  <c r="DJ20" i="1"/>
  <c r="DK20" i="1" s="1"/>
  <c r="DI20" i="1"/>
  <c r="DH20" i="1"/>
  <c r="DE20" i="1"/>
  <c r="DC20" i="1"/>
  <c r="CY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G20" i="1"/>
  <c r="BE20" i="1"/>
  <c r="BC20" i="1"/>
  <c r="BA20" i="1"/>
  <c r="AY20" i="1"/>
  <c r="AW20" i="1"/>
  <c r="AU20" i="1"/>
  <c r="AS20" i="1"/>
  <c r="AQ20" i="1"/>
  <c r="AO20" i="1"/>
  <c r="AI20" i="1"/>
  <c r="AE20" i="1"/>
  <c r="AC20" i="1"/>
  <c r="W20" i="1"/>
  <c r="U20" i="1"/>
  <c r="S20" i="1"/>
  <c r="Q20" i="1"/>
  <c r="DN19" i="1"/>
  <c r="DL19" i="1"/>
  <c r="DM19" i="1" s="1"/>
  <c r="DK19" i="1"/>
  <c r="DJ19" i="1"/>
  <c r="DH19" i="1"/>
  <c r="DH18" i="1" s="1"/>
  <c r="DG19" i="1"/>
  <c r="DE19" i="1"/>
  <c r="DC19" i="1"/>
  <c r="DC18" i="1" s="1"/>
  <c r="CY19" i="1"/>
  <c r="CT19" i="1"/>
  <c r="CT18" i="1" s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J19" i="1"/>
  <c r="BE19" i="1"/>
  <c r="BC19" i="1"/>
  <c r="BA19" i="1"/>
  <c r="AY19" i="1"/>
  <c r="AW19" i="1"/>
  <c r="AU19" i="1"/>
  <c r="AS19" i="1"/>
  <c r="AQ19" i="1"/>
  <c r="AO19" i="1"/>
  <c r="AI19" i="1"/>
  <c r="AE19" i="1"/>
  <c r="AC19" i="1"/>
  <c r="AB19" i="1"/>
  <c r="W19" i="1"/>
  <c r="U19" i="1"/>
  <c r="S19" i="1"/>
  <c r="Q19" i="1"/>
  <c r="DQ18" i="1"/>
  <c r="DP18" i="1"/>
  <c r="DF18" i="1"/>
  <c r="DD18" i="1"/>
  <c r="DB18" i="1"/>
  <c r="CZ18" i="1"/>
  <c r="CV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L18" i="1"/>
  <c r="BH18" i="1"/>
  <c r="BF18" i="1"/>
  <c r="BD18" i="1"/>
  <c r="BB18" i="1"/>
  <c r="AZ18" i="1"/>
  <c r="AX18" i="1"/>
  <c r="AV18" i="1"/>
  <c r="AT18" i="1"/>
  <c r="AR18" i="1"/>
  <c r="AN18" i="1"/>
  <c r="AM18" i="1"/>
  <c r="AL18" i="1"/>
  <c r="AK18" i="1"/>
  <c r="AJ18" i="1"/>
  <c r="AH18" i="1"/>
  <c r="AG18" i="1"/>
  <c r="AF18" i="1"/>
  <c r="AD18" i="1"/>
  <c r="V18" i="1"/>
  <c r="T18" i="1"/>
  <c r="R18" i="1"/>
  <c r="P18" i="1"/>
  <c r="DR17" i="1"/>
  <c r="DR16" i="1" s="1"/>
  <c r="DK17" i="1"/>
  <c r="DK16" i="1" s="1"/>
  <c r="DE17" i="1"/>
  <c r="CY17" i="1"/>
  <c r="CY16" i="1" s="1"/>
  <c r="CQ17" i="1"/>
  <c r="CK17" i="1"/>
  <c r="CK16" i="1" s="1"/>
  <c r="CI17" i="1"/>
  <c r="CI16" i="1" s="1"/>
  <c r="CA17" i="1"/>
  <c r="BY17" i="1"/>
  <c r="BU17" i="1"/>
  <c r="BU16" i="1" s="1"/>
  <c r="BO17" i="1"/>
  <c r="BO16" i="1" s="1"/>
  <c r="BM17" i="1"/>
  <c r="BE17" i="1"/>
  <c r="BE16" i="1" s="1"/>
  <c r="BC17" i="1"/>
  <c r="BC16" i="1" s="1"/>
  <c r="BA17" i="1"/>
  <c r="AW17" i="1"/>
  <c r="AW16" i="1" s="1"/>
  <c r="AU17" i="1"/>
  <c r="AI17" i="1"/>
  <c r="AE17" i="1"/>
  <c r="AE16" i="1" s="1"/>
  <c r="W17" i="1"/>
  <c r="W16" i="1" s="1"/>
  <c r="U17" i="1"/>
  <c r="U16" i="1" s="1"/>
  <c r="S17" i="1"/>
  <c r="S16" i="1" s="1"/>
  <c r="Q17" i="1"/>
  <c r="Q16" i="1" s="1"/>
  <c r="DQ16" i="1"/>
  <c r="DP16" i="1"/>
  <c r="DO16" i="1"/>
  <c r="DN16" i="1"/>
  <c r="DM16" i="1"/>
  <c r="DL16" i="1"/>
  <c r="DJ16" i="1"/>
  <c r="DI16" i="1"/>
  <c r="DH16" i="1"/>
  <c r="DG16" i="1"/>
  <c r="DF16" i="1"/>
  <c r="DE16" i="1"/>
  <c r="DD16" i="1"/>
  <c r="DC16" i="1"/>
  <c r="DB16" i="1"/>
  <c r="CZ16" i="1"/>
  <c r="CX16" i="1"/>
  <c r="CV16" i="1"/>
  <c r="CU16" i="1"/>
  <c r="CT16" i="1"/>
  <c r="CS16" i="1"/>
  <c r="CR16" i="1"/>
  <c r="CQ16" i="1"/>
  <c r="CP16" i="1"/>
  <c r="CO16" i="1"/>
  <c r="CN16" i="1"/>
  <c r="CM16" i="1"/>
  <c r="CL16" i="1"/>
  <c r="CJ16" i="1"/>
  <c r="CH16" i="1"/>
  <c r="CH485" i="1" s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V485" i="1" s="1"/>
  <c r="BT16" i="1"/>
  <c r="BS16" i="1"/>
  <c r="BR16" i="1"/>
  <c r="BQ16" i="1"/>
  <c r="BP16" i="1"/>
  <c r="BN16" i="1"/>
  <c r="BM16" i="1"/>
  <c r="BL16" i="1"/>
  <c r="BK16" i="1"/>
  <c r="BJ16" i="1"/>
  <c r="BI16" i="1"/>
  <c r="BH16" i="1"/>
  <c r="BG16" i="1"/>
  <c r="BF16" i="1"/>
  <c r="BD16" i="1"/>
  <c r="BD485" i="1" s="1"/>
  <c r="BB16" i="1"/>
  <c r="BA16" i="1"/>
  <c r="AZ16" i="1"/>
  <c r="AY16" i="1"/>
  <c r="AX16" i="1"/>
  <c r="AX485" i="1" s="1"/>
  <c r="AV16" i="1"/>
  <c r="AU16" i="1"/>
  <c r="AT16" i="1"/>
  <c r="AS16" i="1"/>
  <c r="AR16" i="1"/>
  <c r="AQ16" i="1"/>
  <c r="AP16" i="1"/>
  <c r="AO16" i="1"/>
  <c r="AN16" i="1"/>
  <c r="AM16" i="1"/>
  <c r="AL16" i="1"/>
  <c r="AI16" i="1"/>
  <c r="AH16" i="1"/>
  <c r="AG16" i="1"/>
  <c r="AF16" i="1"/>
  <c r="AD16" i="1"/>
  <c r="AD485" i="1" s="1"/>
  <c r="AC16" i="1"/>
  <c r="AB16" i="1"/>
  <c r="V16" i="1"/>
  <c r="T16" i="1"/>
  <c r="R16" i="1"/>
  <c r="P16" i="1"/>
  <c r="BO4" i="1"/>
  <c r="AU4" i="1"/>
  <c r="AC80" i="1" l="1"/>
  <c r="CS80" i="1"/>
  <c r="DI80" i="1"/>
  <c r="AB18" i="1"/>
  <c r="BJ18" i="1"/>
  <c r="BJ485" i="1" s="1"/>
  <c r="BK19" i="1"/>
  <c r="BK18" i="1" s="1"/>
  <c r="DS28" i="1"/>
  <c r="DW28" i="1" s="1"/>
  <c r="DR45" i="1"/>
  <c r="DV45" i="1" s="1"/>
  <c r="AB43" i="1"/>
  <c r="DG43" i="1"/>
  <c r="DS60" i="1"/>
  <c r="DW60" i="1" s="1"/>
  <c r="W61" i="1"/>
  <c r="AQ61" i="1"/>
  <c r="BO61" i="1"/>
  <c r="CA61" i="1"/>
  <c r="AW61" i="1"/>
  <c r="BI61" i="1"/>
  <c r="CG61" i="1"/>
  <c r="DK61" i="1"/>
  <c r="DS70" i="1"/>
  <c r="DW70" i="1" s="1"/>
  <c r="DS79" i="1"/>
  <c r="DW79" i="1" s="1"/>
  <c r="DM106" i="1"/>
  <c r="DM105" i="1" s="1"/>
  <c r="DL105" i="1"/>
  <c r="AC33" i="1"/>
  <c r="W36" i="1"/>
  <c r="DR37" i="1"/>
  <c r="DV37" i="1" s="1"/>
  <c r="AQ37" i="1"/>
  <c r="AQ36" i="1" s="1"/>
  <c r="AP36" i="1"/>
  <c r="AW36" i="1"/>
  <c r="BI36" i="1"/>
  <c r="CG36" i="1"/>
  <c r="CS36" i="1"/>
  <c r="AU80" i="1"/>
  <c r="BS80" i="1"/>
  <c r="AO18" i="1"/>
  <c r="BA18" i="1"/>
  <c r="DO116" i="1"/>
  <c r="DO115" i="1" s="1"/>
  <c r="DN115" i="1"/>
  <c r="CN485" i="1"/>
  <c r="CB485" i="1"/>
  <c r="U18" i="1"/>
  <c r="S50" i="1"/>
  <c r="AI50" i="1"/>
  <c r="AC57" i="1"/>
  <c r="AC61" i="1"/>
  <c r="AU61" i="1"/>
  <c r="BG61" i="1"/>
  <c r="AY72" i="1"/>
  <c r="AI72" i="1"/>
  <c r="DM283" i="1"/>
  <c r="DL282" i="1"/>
  <c r="DR296" i="1"/>
  <c r="DV296" i="1" s="1"/>
  <c r="AB295" i="1"/>
  <c r="DS299" i="1"/>
  <c r="DW299" i="1" s="1"/>
  <c r="U297" i="1"/>
  <c r="DO350" i="1"/>
  <c r="DO348" i="1" s="1"/>
  <c r="DN348" i="1"/>
  <c r="AL485" i="1"/>
  <c r="AR485" i="1"/>
  <c r="DB485" i="1"/>
  <c r="DB3" i="1" s="1"/>
  <c r="Q18" i="1"/>
  <c r="AE18" i="1"/>
  <c r="AW18" i="1"/>
  <c r="BW18" i="1"/>
  <c r="CI18" i="1"/>
  <c r="DR20" i="1"/>
  <c r="DV20" i="1" s="1"/>
  <c r="DS21" i="1"/>
  <c r="DW21" i="1" s="1"/>
  <c r="DS24" i="1"/>
  <c r="DW24" i="1" s="1"/>
  <c r="BU18" i="1"/>
  <c r="CG18" i="1"/>
  <c r="CS18" i="1"/>
  <c r="DG18" i="1"/>
  <c r="DS26" i="1"/>
  <c r="DW26" i="1" s="1"/>
  <c r="DS30" i="1"/>
  <c r="DW30" i="1" s="1"/>
  <c r="DN33" i="1"/>
  <c r="CO33" i="1"/>
  <c r="BI33" i="1"/>
  <c r="BC36" i="1"/>
  <c r="DE36" i="1"/>
  <c r="DR38" i="1"/>
  <c r="BO36" i="1"/>
  <c r="BM50" i="1"/>
  <c r="CA50" i="1"/>
  <c r="CS50" i="1"/>
  <c r="AO50" i="1"/>
  <c r="DS56" i="1"/>
  <c r="DS63" i="1"/>
  <c r="DW63" i="1" s="1"/>
  <c r="DS76" i="1"/>
  <c r="DW76" i="1" s="1"/>
  <c r="DS78" i="1"/>
  <c r="DW78" i="1" s="1"/>
  <c r="CU85" i="1"/>
  <c r="W85" i="1"/>
  <c r="CY85" i="1"/>
  <c r="DS140" i="1"/>
  <c r="Q139" i="1"/>
  <c r="DK139" i="1"/>
  <c r="AT139" i="1"/>
  <c r="AU145" i="1"/>
  <c r="BY164" i="1"/>
  <c r="CM164" i="1"/>
  <c r="AC164" i="1"/>
  <c r="DK18" i="1"/>
  <c r="S18" i="1"/>
  <c r="DS23" i="1"/>
  <c r="DW23" i="1" s="1"/>
  <c r="DR30" i="1"/>
  <c r="DV30" i="1" s="1"/>
  <c r="AP18" i="1"/>
  <c r="DS34" i="1"/>
  <c r="DW34" i="1" s="1"/>
  <c r="BG33" i="1"/>
  <c r="BS36" i="1"/>
  <c r="CE36" i="1"/>
  <c r="CQ36" i="1"/>
  <c r="DO36" i="1"/>
  <c r="DG36" i="1"/>
  <c r="AC43" i="1"/>
  <c r="AU43" i="1"/>
  <c r="BG43" i="1"/>
  <c r="BS43" i="1"/>
  <c r="CE43" i="1"/>
  <c r="CQ43" i="1"/>
  <c r="DN50" i="1"/>
  <c r="Q55" i="1"/>
  <c r="BG57" i="1"/>
  <c r="BS57" i="1"/>
  <c r="CE57" i="1"/>
  <c r="CS57" i="1"/>
  <c r="DI57" i="1"/>
  <c r="T61" i="1"/>
  <c r="AI61" i="1"/>
  <c r="AY61" i="1"/>
  <c r="BK61" i="1"/>
  <c r="BW61" i="1"/>
  <c r="CI61" i="1"/>
  <c r="CY61" i="1"/>
  <c r="DM61" i="1"/>
  <c r="DR73" i="1"/>
  <c r="AS72" i="1"/>
  <c r="BC72" i="1"/>
  <c r="BO72" i="1"/>
  <c r="CA72" i="1"/>
  <c r="CO72" i="1"/>
  <c r="DE72" i="1"/>
  <c r="DK72" i="1"/>
  <c r="W72" i="1"/>
  <c r="U79" i="1"/>
  <c r="U72" i="1" s="1"/>
  <c r="AB80" i="1"/>
  <c r="CY80" i="1"/>
  <c r="DR94" i="1"/>
  <c r="DV94" i="1" s="1"/>
  <c r="DI96" i="1"/>
  <c r="CC85" i="1"/>
  <c r="DS97" i="1"/>
  <c r="DW97" i="1" s="1"/>
  <c r="AB105" i="1"/>
  <c r="DR106" i="1"/>
  <c r="DV106" i="1" s="1"/>
  <c r="AE105" i="1"/>
  <c r="DS113" i="1"/>
  <c r="DW113" i="1" s="1"/>
  <c r="S115" i="1"/>
  <c r="BA115" i="1"/>
  <c r="BI119" i="1"/>
  <c r="DS132" i="1"/>
  <c r="DW132" i="1" s="1"/>
  <c r="DS156" i="1"/>
  <c r="DW156" i="1" s="1"/>
  <c r="DS157" i="1"/>
  <c r="DW157" i="1" s="1"/>
  <c r="AQ152" i="1"/>
  <c r="BC152" i="1"/>
  <c r="BO152" i="1"/>
  <c r="CA152" i="1"/>
  <c r="DS162" i="1"/>
  <c r="DW162" i="1" s="1"/>
  <c r="AE160" i="1"/>
  <c r="AW160" i="1"/>
  <c r="BI160" i="1"/>
  <c r="BU160" i="1"/>
  <c r="CG160" i="1"/>
  <c r="CU160" i="1"/>
  <c r="BG164" i="1"/>
  <c r="DS169" i="1"/>
  <c r="DW169" i="1" s="1"/>
  <c r="DS226" i="1"/>
  <c r="DW226" i="1" s="1"/>
  <c r="DV256" i="1"/>
  <c r="DR255" i="1"/>
  <c r="DV255" i="1" s="1"/>
  <c r="AQ256" i="1"/>
  <c r="AQ255" i="1" s="1"/>
  <c r="AP255" i="1"/>
  <c r="CO255" i="1"/>
  <c r="AC18" i="1"/>
  <c r="BM18" i="1"/>
  <c r="DR25" i="1"/>
  <c r="DV25" i="1" s="1"/>
  <c r="DR27" i="1"/>
  <c r="DV27" i="1" s="1"/>
  <c r="BC18" i="1"/>
  <c r="DS32" i="1"/>
  <c r="DW32" i="1" s="1"/>
  <c r="DS35" i="1"/>
  <c r="DW35" i="1" s="1"/>
  <c r="Q36" i="1"/>
  <c r="AE36" i="1"/>
  <c r="AU36" i="1"/>
  <c r="BG36" i="1"/>
  <c r="DS39" i="1"/>
  <c r="DW39" i="1" s="1"/>
  <c r="DR41" i="1"/>
  <c r="DV41" i="1" s="1"/>
  <c r="DC36" i="1"/>
  <c r="DI43" i="1"/>
  <c r="S43" i="1"/>
  <c r="AI43" i="1"/>
  <c r="AY43" i="1"/>
  <c r="BK43" i="1"/>
  <c r="BW43" i="1"/>
  <c r="CI43" i="1"/>
  <c r="CU43" i="1"/>
  <c r="DK43" i="1"/>
  <c r="DS46" i="1"/>
  <c r="DW46" i="1" s="1"/>
  <c r="DS48" i="1"/>
  <c r="DW48" i="1" s="1"/>
  <c r="AB50" i="1"/>
  <c r="BQ50" i="1"/>
  <c r="CE50" i="1"/>
  <c r="CY50" i="1"/>
  <c r="AS61" i="1"/>
  <c r="BE61" i="1"/>
  <c r="BS61" i="1"/>
  <c r="CE61" i="1"/>
  <c r="AC72" i="1"/>
  <c r="CQ72" i="1"/>
  <c r="DG72" i="1"/>
  <c r="U82" i="1"/>
  <c r="DS82" i="1" s="1"/>
  <c r="DW82" i="1" s="1"/>
  <c r="DR82" i="1"/>
  <c r="DV82" i="1" s="1"/>
  <c r="DR88" i="1"/>
  <c r="DV88" i="1" s="1"/>
  <c r="CE85" i="1"/>
  <c r="DI115" i="1"/>
  <c r="CC139" i="1"/>
  <c r="DS144" i="1"/>
  <c r="DW144" i="1" s="1"/>
  <c r="BW139" i="1"/>
  <c r="CI139" i="1"/>
  <c r="U151" i="1"/>
  <c r="DR151" i="1"/>
  <c r="DV151" i="1" s="1"/>
  <c r="BG152" i="1"/>
  <c r="CS152" i="1"/>
  <c r="S152" i="1"/>
  <c r="BU164" i="1"/>
  <c r="DS218" i="1"/>
  <c r="DW218" i="1" s="1"/>
  <c r="BG18" i="1"/>
  <c r="BY18" i="1"/>
  <c r="BP485" i="1"/>
  <c r="DJ18" i="1"/>
  <c r="W18" i="1"/>
  <c r="BQ18" i="1"/>
  <c r="CC18" i="1"/>
  <c r="CO18" i="1"/>
  <c r="DE18" i="1"/>
  <c r="DN18" i="1"/>
  <c r="DL18" i="1"/>
  <c r="BI18" i="1"/>
  <c r="CY25" i="1"/>
  <c r="CY18" i="1" s="1"/>
  <c r="AY33" i="1"/>
  <c r="DK33" i="1"/>
  <c r="AI36" i="1"/>
  <c r="BU36" i="1"/>
  <c r="DK36" i="1"/>
  <c r="CA36" i="1"/>
  <c r="CM36" i="1"/>
  <c r="AS36" i="1"/>
  <c r="BE36" i="1"/>
  <c r="AC50" i="1"/>
  <c r="AU50" i="1"/>
  <c r="DR56" i="1"/>
  <c r="DR55" i="1" s="1"/>
  <c r="DV55" i="1" s="1"/>
  <c r="AB57" i="1"/>
  <c r="S61" i="1"/>
  <c r="CU61" i="1"/>
  <c r="CO61" i="1"/>
  <c r="AE72" i="1"/>
  <c r="BG72" i="1"/>
  <c r="BS72" i="1"/>
  <c r="CE72" i="1"/>
  <c r="CS72" i="1"/>
  <c r="DI72" i="1"/>
  <c r="BA72" i="1"/>
  <c r="BM72" i="1"/>
  <c r="BY72" i="1"/>
  <c r="CM72" i="1"/>
  <c r="DC72" i="1"/>
  <c r="DO72" i="1"/>
  <c r="BZ85" i="1"/>
  <c r="Q85" i="1"/>
  <c r="AI85" i="1"/>
  <c r="DG85" i="1"/>
  <c r="DS101" i="1"/>
  <c r="DW101" i="1" s="1"/>
  <c r="DS138" i="1"/>
  <c r="DW138" i="1" s="1"/>
  <c r="W139" i="1"/>
  <c r="DS143" i="1"/>
  <c r="DW143" i="1" s="1"/>
  <c r="AS139" i="1"/>
  <c r="BE139" i="1"/>
  <c r="DS184" i="1"/>
  <c r="DW184" i="1" s="1"/>
  <c r="DM279" i="1"/>
  <c r="DL277" i="1"/>
  <c r="DO313" i="1"/>
  <c r="DN312" i="1"/>
  <c r="AU18" i="1"/>
  <c r="CK18" i="1"/>
  <c r="DS17" i="1"/>
  <c r="CX18" i="1"/>
  <c r="AS18" i="1"/>
  <c r="BE18" i="1"/>
  <c r="BS18" i="1"/>
  <c r="CE18" i="1"/>
  <c r="CQ18" i="1"/>
  <c r="AI18" i="1"/>
  <c r="AY18" i="1"/>
  <c r="BO18" i="1"/>
  <c r="CA18" i="1"/>
  <c r="CM18" i="1"/>
  <c r="DR21" i="1"/>
  <c r="DV21" i="1" s="1"/>
  <c r="DR26" i="1"/>
  <c r="DV26" i="1" s="1"/>
  <c r="CK33" i="1"/>
  <c r="CK485" i="1" s="1"/>
  <c r="CY33" i="1"/>
  <c r="DM33" i="1"/>
  <c r="DR35" i="1"/>
  <c r="DV35" i="1" s="1"/>
  <c r="U36" i="1"/>
  <c r="AO36" i="1"/>
  <c r="AY36" i="1"/>
  <c r="BM36" i="1"/>
  <c r="BY36" i="1"/>
  <c r="CK36" i="1"/>
  <c r="DS42" i="1"/>
  <c r="DW42" i="1" s="1"/>
  <c r="DR44" i="1"/>
  <c r="DN43" i="1"/>
  <c r="DS47" i="1"/>
  <c r="DW47" i="1" s="1"/>
  <c r="AE43" i="1"/>
  <c r="AW43" i="1"/>
  <c r="BI43" i="1"/>
  <c r="BU43" i="1"/>
  <c r="CG43" i="1"/>
  <c r="CS43" i="1"/>
  <c r="AS50" i="1"/>
  <c r="BU50" i="1"/>
  <c r="CI50" i="1"/>
  <c r="DC50" i="1"/>
  <c r="DS53" i="1"/>
  <c r="DW53" i="1" s="1"/>
  <c r="DS66" i="1"/>
  <c r="DW66" i="1" s="1"/>
  <c r="DI61" i="1"/>
  <c r="AQ72" i="1"/>
  <c r="AI80" i="1"/>
  <c r="AY80" i="1"/>
  <c r="BK80" i="1"/>
  <c r="BW80" i="1"/>
  <c r="CI80" i="1"/>
  <c r="DM80" i="1"/>
  <c r="CT85" i="1"/>
  <c r="DI85" i="1"/>
  <c r="DS104" i="1"/>
  <c r="DW104" i="1" s="1"/>
  <c r="DK105" i="1"/>
  <c r="AP105" i="1"/>
  <c r="AQ110" i="1"/>
  <c r="AS115" i="1"/>
  <c r="BG115" i="1"/>
  <c r="BS115" i="1"/>
  <c r="CE115" i="1"/>
  <c r="CY152" i="1"/>
  <c r="AB152" i="1"/>
  <c r="CQ152" i="1"/>
  <c r="DG152" i="1"/>
  <c r="BA164" i="1"/>
  <c r="BM164" i="1"/>
  <c r="DR87" i="1"/>
  <c r="DV87" i="1" s="1"/>
  <c r="DR89" i="1"/>
  <c r="DV89" i="1" s="1"/>
  <c r="DS102" i="1"/>
  <c r="DW102" i="1" s="1"/>
  <c r="DS108" i="1"/>
  <c r="DW108" i="1" s="1"/>
  <c r="U105" i="1"/>
  <c r="CM105" i="1"/>
  <c r="DC105" i="1"/>
  <c r="DO105" i="1"/>
  <c r="DR110" i="1"/>
  <c r="DV110" i="1" s="1"/>
  <c r="DS112" i="1"/>
  <c r="DW112" i="1" s="1"/>
  <c r="DS114" i="1"/>
  <c r="DW114" i="1" s="1"/>
  <c r="W115" i="1"/>
  <c r="AC115" i="1"/>
  <c r="AU115" i="1"/>
  <c r="BI115" i="1"/>
  <c r="BU115" i="1"/>
  <c r="CG115" i="1"/>
  <c r="CU115" i="1"/>
  <c r="DK115" i="1"/>
  <c r="DS123" i="1"/>
  <c r="DW123" i="1" s="1"/>
  <c r="AQ119" i="1"/>
  <c r="DS124" i="1"/>
  <c r="DW124" i="1" s="1"/>
  <c r="DR125" i="1"/>
  <c r="DV125" i="1" s="1"/>
  <c r="DS126" i="1"/>
  <c r="DW126" i="1" s="1"/>
  <c r="AE119" i="1"/>
  <c r="AW119" i="1"/>
  <c r="BU119" i="1"/>
  <c r="CG119" i="1"/>
  <c r="T119" i="1"/>
  <c r="DL119" i="1"/>
  <c r="DS136" i="1"/>
  <c r="DW136" i="1" s="1"/>
  <c r="CY139" i="1"/>
  <c r="BU139" i="1"/>
  <c r="CG139" i="1"/>
  <c r="DS161" i="1"/>
  <c r="DS166" i="1"/>
  <c r="DW166" i="1" s="1"/>
  <c r="AU164" i="1"/>
  <c r="BI164" i="1"/>
  <c r="CG164" i="1"/>
  <c r="CU164" i="1"/>
  <c r="DK164" i="1"/>
  <c r="DS173" i="1"/>
  <c r="DW173" i="1" s="1"/>
  <c r="DS174" i="1"/>
  <c r="DW174" i="1" s="1"/>
  <c r="DS195" i="1"/>
  <c r="DW195" i="1" s="1"/>
  <c r="DS204" i="1"/>
  <c r="DW204" i="1" s="1"/>
  <c r="DS207" i="1"/>
  <c r="DW207" i="1" s="1"/>
  <c r="DS219" i="1"/>
  <c r="DW219" i="1" s="1"/>
  <c r="DS229" i="1"/>
  <c r="DW229" i="1" s="1"/>
  <c r="DS232" i="1"/>
  <c r="DW232" i="1" s="1"/>
  <c r="DS235" i="1"/>
  <c r="DW235" i="1" s="1"/>
  <c r="BI244" i="1"/>
  <c r="CU244" i="1"/>
  <c r="CO244" i="1"/>
  <c r="BW255" i="1"/>
  <c r="CI255" i="1"/>
  <c r="CY255" i="1"/>
  <c r="BI270" i="1"/>
  <c r="CS277" i="1"/>
  <c r="DR279" i="1"/>
  <c r="DV279" i="1" s="1"/>
  <c r="U279" i="1"/>
  <c r="BU297" i="1"/>
  <c r="AE80" i="1"/>
  <c r="AW80" i="1"/>
  <c r="BI80" i="1"/>
  <c r="BU80" i="1"/>
  <c r="CG80" i="1"/>
  <c r="CU80" i="1"/>
  <c r="DK80" i="1"/>
  <c r="W80" i="1"/>
  <c r="AQ80" i="1"/>
  <c r="BC80" i="1"/>
  <c r="BO80" i="1"/>
  <c r="CA80" i="1"/>
  <c r="CO80" i="1"/>
  <c r="DR84" i="1"/>
  <c r="DV84" i="1" s="1"/>
  <c r="DR92" i="1"/>
  <c r="DV92" i="1" s="1"/>
  <c r="AB115" i="1"/>
  <c r="BA119" i="1"/>
  <c r="BM119" i="1"/>
  <c r="BY119" i="1"/>
  <c r="CM119" i="1"/>
  <c r="DC119" i="1"/>
  <c r="CY119" i="1"/>
  <c r="DR123" i="1"/>
  <c r="DV123" i="1" s="1"/>
  <c r="S119" i="1"/>
  <c r="AI119" i="1"/>
  <c r="DL139" i="1"/>
  <c r="DN139" i="1"/>
  <c r="BO139" i="1"/>
  <c r="CA139" i="1"/>
  <c r="DE139" i="1"/>
  <c r="DR143" i="1"/>
  <c r="DV143" i="1" s="1"/>
  <c r="BQ139" i="1"/>
  <c r="DS149" i="1"/>
  <c r="DW149" i="1" s="1"/>
  <c r="DS159" i="1"/>
  <c r="DW159" i="1" s="1"/>
  <c r="BU152" i="1"/>
  <c r="BA160" i="1"/>
  <c r="BM160" i="1"/>
  <c r="BY160" i="1"/>
  <c r="CM160" i="1"/>
  <c r="AC160" i="1"/>
  <c r="DI160" i="1"/>
  <c r="DR169" i="1"/>
  <c r="DV169" i="1" s="1"/>
  <c r="DS171" i="1"/>
  <c r="DW171" i="1" s="1"/>
  <c r="CQ164" i="1"/>
  <c r="DS172" i="1"/>
  <c r="DW172" i="1" s="1"/>
  <c r="DS183" i="1"/>
  <c r="DW183" i="1" s="1"/>
  <c r="DS190" i="1"/>
  <c r="DW190" i="1" s="1"/>
  <c r="DS196" i="1"/>
  <c r="DW196" i="1" s="1"/>
  <c r="DS253" i="1"/>
  <c r="DW253" i="1" s="1"/>
  <c r="BU265" i="1"/>
  <c r="CG265" i="1"/>
  <c r="BY115" i="1"/>
  <c r="CM115" i="1"/>
  <c r="DC115" i="1"/>
  <c r="DS130" i="1"/>
  <c r="DW130" i="1" s="1"/>
  <c r="AI139" i="1"/>
  <c r="AY139" i="1"/>
  <c r="BM139" i="1"/>
  <c r="BY139" i="1"/>
  <c r="CM139" i="1"/>
  <c r="DS147" i="1"/>
  <c r="DW147" i="1" s="1"/>
  <c r="AE152" i="1"/>
  <c r="AW152" i="1"/>
  <c r="CG152" i="1"/>
  <c r="DK152" i="1"/>
  <c r="DG160" i="1"/>
  <c r="AY160" i="1"/>
  <c r="BK160" i="1"/>
  <c r="BW160" i="1"/>
  <c r="CI160" i="1"/>
  <c r="DS179" i="1"/>
  <c r="DW179" i="1" s="1"/>
  <c r="DS180" i="1"/>
  <c r="DW180" i="1" s="1"/>
  <c r="DS182" i="1"/>
  <c r="DW182" i="1" s="1"/>
  <c r="DS189" i="1"/>
  <c r="DW189" i="1" s="1"/>
  <c r="DS211" i="1"/>
  <c r="DW211" i="1" s="1"/>
  <c r="AG255" i="1"/>
  <c r="U282" i="1"/>
  <c r="AO282" i="1"/>
  <c r="DR97" i="1"/>
  <c r="DV97" i="1" s="1"/>
  <c r="DS111" i="1"/>
  <c r="DW111" i="1" s="1"/>
  <c r="CQ105" i="1"/>
  <c r="DS116" i="1"/>
  <c r="AI115" i="1"/>
  <c r="BK115" i="1"/>
  <c r="BW115" i="1"/>
  <c r="CI115" i="1"/>
  <c r="DM115" i="1"/>
  <c r="AC119" i="1"/>
  <c r="AS119" i="1"/>
  <c r="BE119" i="1"/>
  <c r="BQ119" i="1"/>
  <c r="CC119" i="1"/>
  <c r="AO119" i="1"/>
  <c r="BK119" i="1"/>
  <c r="BW119" i="1"/>
  <c r="CI119" i="1"/>
  <c r="DR132" i="1"/>
  <c r="DV132" i="1" s="1"/>
  <c r="DR133" i="1"/>
  <c r="DV133" i="1" s="1"/>
  <c r="CS119" i="1"/>
  <c r="DR136" i="1"/>
  <c r="DV136" i="1" s="1"/>
  <c r="DS137" i="1"/>
  <c r="DW137" i="1" s="1"/>
  <c r="AU139" i="1"/>
  <c r="BG139" i="1"/>
  <c r="BS139" i="1"/>
  <c r="CE139" i="1"/>
  <c r="CS139" i="1"/>
  <c r="DS141" i="1"/>
  <c r="DW141" i="1" s="1"/>
  <c r="DS151" i="1"/>
  <c r="DW151" i="1" s="1"/>
  <c r="AI152" i="1"/>
  <c r="AY152" i="1"/>
  <c r="BK152" i="1"/>
  <c r="BW152" i="1"/>
  <c r="CI152" i="1"/>
  <c r="BS152" i="1"/>
  <c r="DR161" i="1"/>
  <c r="AQ161" i="1"/>
  <c r="AQ160" i="1" s="1"/>
  <c r="BC160" i="1"/>
  <c r="BO160" i="1"/>
  <c r="CA160" i="1"/>
  <c r="CO160" i="1"/>
  <c r="DR166" i="1"/>
  <c r="DV166" i="1" s="1"/>
  <c r="DS177" i="1"/>
  <c r="DW177" i="1" s="1"/>
  <c r="DS192" i="1"/>
  <c r="DW192" i="1" s="1"/>
  <c r="DS206" i="1"/>
  <c r="DW206" i="1" s="1"/>
  <c r="DS209" i="1"/>
  <c r="DW209" i="1" s="1"/>
  <c r="DS213" i="1"/>
  <c r="DW213" i="1" s="1"/>
  <c r="AS270" i="1"/>
  <c r="BE270" i="1"/>
  <c r="BQ270" i="1"/>
  <c r="CC270" i="1"/>
  <c r="CQ270" i="1"/>
  <c r="DG270" i="1"/>
  <c r="W277" i="1"/>
  <c r="DS303" i="1"/>
  <c r="DW303" i="1" s="1"/>
  <c r="AS312" i="1"/>
  <c r="AY318" i="1"/>
  <c r="DS187" i="1"/>
  <c r="DW187" i="1" s="1"/>
  <c r="DS214" i="1"/>
  <c r="DW214" i="1" s="1"/>
  <c r="DS216" i="1"/>
  <c r="DW216" i="1" s="1"/>
  <c r="DS221" i="1"/>
  <c r="DW221" i="1" s="1"/>
  <c r="DS225" i="1"/>
  <c r="DW225" i="1" s="1"/>
  <c r="AW244" i="1"/>
  <c r="CG244" i="1"/>
  <c r="DC244" i="1"/>
  <c r="U255" i="1"/>
  <c r="AI255" i="1"/>
  <c r="W255" i="1"/>
  <c r="DC255" i="1"/>
  <c r="AC265" i="1"/>
  <c r="AU265" i="1"/>
  <c r="BG265" i="1"/>
  <c r="BS265" i="1"/>
  <c r="CE265" i="1"/>
  <c r="CS265" i="1"/>
  <c r="DI265" i="1"/>
  <c r="DR271" i="1"/>
  <c r="CS270" i="1"/>
  <c r="BK270" i="1"/>
  <c r="AE277" i="1"/>
  <c r="AW277" i="1"/>
  <c r="BI277" i="1"/>
  <c r="BU277" i="1"/>
  <c r="CG277" i="1"/>
  <c r="AO277" i="1"/>
  <c r="BA277" i="1"/>
  <c r="BM277" i="1"/>
  <c r="BY277" i="1"/>
  <c r="CM277" i="1"/>
  <c r="DN277" i="1"/>
  <c r="DR280" i="1"/>
  <c r="DV280" i="1" s="1"/>
  <c r="DN282" i="1"/>
  <c r="AY297" i="1"/>
  <c r="DN297" i="1"/>
  <c r="BC312" i="1"/>
  <c r="BO312" i="1"/>
  <c r="CA312" i="1"/>
  <c r="DE312" i="1"/>
  <c r="BG312" i="1"/>
  <c r="BS312" i="1"/>
  <c r="CE312" i="1"/>
  <c r="CO318" i="1"/>
  <c r="BU332" i="1"/>
  <c r="CG332" i="1"/>
  <c r="AE332" i="1"/>
  <c r="BW332" i="1"/>
  <c r="CI332" i="1"/>
  <c r="DS349" i="1"/>
  <c r="DK348" i="1"/>
  <c r="Q348" i="1"/>
  <c r="DR369" i="1"/>
  <c r="AS368" i="1"/>
  <c r="AW270" i="1"/>
  <c r="BU270" i="1"/>
  <c r="CG270" i="1"/>
  <c r="CU270" i="1"/>
  <c r="DK270" i="1"/>
  <c r="DO277" i="1"/>
  <c r="DS288" i="1"/>
  <c r="DW288" i="1" s="1"/>
  <c r="DI282" i="1"/>
  <c r="DS302" i="1"/>
  <c r="DW302" i="1" s="1"/>
  <c r="AE297" i="1"/>
  <c r="DR303" i="1"/>
  <c r="DV303" i="1" s="1"/>
  <c r="DR306" i="1"/>
  <c r="DV306" i="1" s="1"/>
  <c r="AB312" i="1"/>
  <c r="BE312" i="1"/>
  <c r="CC312" i="1"/>
  <c r="CQ318" i="1"/>
  <c r="DG318" i="1"/>
  <c r="DS328" i="1"/>
  <c r="DW328" i="1" s="1"/>
  <c r="DS335" i="1"/>
  <c r="DW335" i="1" s="1"/>
  <c r="BA332" i="1"/>
  <c r="AT368" i="1"/>
  <c r="AU369" i="1"/>
  <c r="DS369" i="1" s="1"/>
  <c r="DW369" i="1" s="1"/>
  <c r="DS261" i="1"/>
  <c r="DW261" i="1" s="1"/>
  <c r="BU255" i="1"/>
  <c r="DO263" i="1"/>
  <c r="DO255" i="1" s="1"/>
  <c r="DS272" i="1"/>
  <c r="DW272" i="1" s="1"/>
  <c r="BC270" i="1"/>
  <c r="BO270" i="1"/>
  <c r="DS280" i="1"/>
  <c r="DW280" i="1" s="1"/>
  <c r="DS281" i="1"/>
  <c r="DW281" i="1" s="1"/>
  <c r="W282" i="1"/>
  <c r="DS294" i="1"/>
  <c r="DW294" i="1" s="1"/>
  <c r="W297" i="1"/>
  <c r="AQ297" i="1"/>
  <c r="BC297" i="1"/>
  <c r="BQ297" i="1"/>
  <c r="CC297" i="1"/>
  <c r="CQ297" i="1"/>
  <c r="DI297" i="1"/>
  <c r="AC297" i="1"/>
  <c r="AU297" i="1"/>
  <c r="BG297" i="1"/>
  <c r="BS297" i="1"/>
  <c r="CE297" i="1"/>
  <c r="CA297" i="1"/>
  <c r="DQ297" i="1"/>
  <c r="DQ485" i="1" s="1"/>
  <c r="CG297" i="1"/>
  <c r="AC312" i="1"/>
  <c r="DR313" i="1"/>
  <c r="S312" i="1"/>
  <c r="AI312" i="1"/>
  <c r="BW312" i="1"/>
  <c r="BQ312" i="1"/>
  <c r="DS317" i="1"/>
  <c r="DW317" i="1" s="1"/>
  <c r="BC318" i="1"/>
  <c r="DS327" i="1"/>
  <c r="DW327" i="1" s="1"/>
  <c r="DC332" i="1"/>
  <c r="DM332" i="1"/>
  <c r="U332" i="1"/>
  <c r="DS215" i="1"/>
  <c r="DW215" i="1" s="1"/>
  <c r="DS220" i="1"/>
  <c r="DW220" i="1" s="1"/>
  <c r="DS242" i="1"/>
  <c r="DW242" i="1" s="1"/>
  <c r="Q244" i="1"/>
  <c r="AE244" i="1"/>
  <c r="BO255" i="1"/>
  <c r="CA255" i="1"/>
  <c r="DE255" i="1"/>
  <c r="AS255" i="1"/>
  <c r="BE255" i="1"/>
  <c r="CC255" i="1"/>
  <c r="CQ255" i="1"/>
  <c r="DG255" i="1"/>
  <c r="CS255" i="1"/>
  <c r="DI255" i="1"/>
  <c r="DO267" i="1"/>
  <c r="DO265" i="1" s="1"/>
  <c r="DR268" i="1"/>
  <c r="DV268" i="1" s="1"/>
  <c r="CY265" i="1"/>
  <c r="DS273" i="1"/>
  <c r="DW273" i="1" s="1"/>
  <c r="CM270" i="1"/>
  <c r="DC270" i="1"/>
  <c r="DR275" i="1"/>
  <c r="DV275" i="1" s="1"/>
  <c r="AQ277" i="1"/>
  <c r="BC277" i="1"/>
  <c r="BO277" i="1"/>
  <c r="CA277" i="1"/>
  <c r="AC277" i="1"/>
  <c r="AU277" i="1"/>
  <c r="BG277" i="1"/>
  <c r="BS277" i="1"/>
  <c r="CE277" i="1"/>
  <c r="S277" i="1"/>
  <c r="AW282" i="1"/>
  <c r="BI282" i="1"/>
  <c r="BU282" i="1"/>
  <c r="CG282" i="1"/>
  <c r="S282" i="1"/>
  <c r="AI282" i="1"/>
  <c r="DS287" i="1"/>
  <c r="DW287" i="1" s="1"/>
  <c r="DC282" i="1"/>
  <c r="DO282" i="1"/>
  <c r="DS291" i="1"/>
  <c r="DW291" i="1" s="1"/>
  <c r="CU282" i="1"/>
  <c r="DK282" i="1"/>
  <c r="DS293" i="1"/>
  <c r="DW293" i="1" s="1"/>
  <c r="DS301" i="1"/>
  <c r="DW301" i="1" s="1"/>
  <c r="DS306" i="1"/>
  <c r="DW306" i="1" s="1"/>
  <c r="BO297" i="1"/>
  <c r="DO312" i="1"/>
  <c r="DS322" i="1"/>
  <c r="DW322" i="1" s="1"/>
  <c r="BO318" i="1"/>
  <c r="CA318" i="1"/>
  <c r="AE318" i="1"/>
  <c r="BC332" i="1"/>
  <c r="DG332" i="1"/>
  <c r="DR334" i="1"/>
  <c r="DV334" i="1" s="1"/>
  <c r="DS344" i="1"/>
  <c r="DW344" i="1" s="1"/>
  <c r="DR387" i="1"/>
  <c r="DV387" i="1" s="1"/>
  <c r="AQ387" i="1"/>
  <c r="DS387" i="1" s="1"/>
  <c r="DW387" i="1" s="1"/>
  <c r="DR246" i="1"/>
  <c r="AI244" i="1"/>
  <c r="AY244" i="1"/>
  <c r="BK244" i="1"/>
  <c r="CI244" i="1"/>
  <c r="DS252" i="1"/>
  <c r="DW252" i="1" s="1"/>
  <c r="DS259" i="1"/>
  <c r="DW259" i="1" s="1"/>
  <c r="DS260" i="1"/>
  <c r="DW260" i="1" s="1"/>
  <c r="DS262" i="1"/>
  <c r="DW262" i="1" s="1"/>
  <c r="DS263" i="1"/>
  <c r="DW263" i="1" s="1"/>
  <c r="AQ265" i="1"/>
  <c r="BC265" i="1"/>
  <c r="BO265" i="1"/>
  <c r="CA265" i="1"/>
  <c r="DE265" i="1"/>
  <c r="BE265" i="1"/>
  <c r="BQ265" i="1"/>
  <c r="Q265" i="1"/>
  <c r="CM265" i="1"/>
  <c r="DC265" i="1"/>
  <c r="DE270" i="1"/>
  <c r="AE270" i="1"/>
  <c r="AB277" i="1"/>
  <c r="CQ277" i="1"/>
  <c r="DG277" i="1"/>
  <c r="DS283" i="1"/>
  <c r="DS292" i="1"/>
  <c r="DW292" i="1" s="1"/>
  <c r="DN295" i="1"/>
  <c r="AS297" i="1"/>
  <c r="BE297" i="1"/>
  <c r="DS305" i="1"/>
  <c r="DW305" i="1" s="1"/>
  <c r="DS309" i="1"/>
  <c r="DW309" i="1" s="1"/>
  <c r="DS310" i="1"/>
  <c r="DW310" i="1" s="1"/>
  <c r="CM297" i="1"/>
  <c r="DM312" i="1"/>
  <c r="AQ312" i="1"/>
  <c r="CS312" i="1"/>
  <c r="AQ318" i="1"/>
  <c r="DM318" i="1"/>
  <c r="AS332" i="1"/>
  <c r="DS340" i="1"/>
  <c r="DW340" i="1" s="1"/>
  <c r="DS341" i="1"/>
  <c r="DW341" i="1" s="1"/>
  <c r="AY332" i="1"/>
  <c r="BM332" i="1"/>
  <c r="BY332" i="1"/>
  <c r="BG368" i="1"/>
  <c r="DO392" i="1"/>
  <c r="DN388" i="1"/>
  <c r="AC397" i="1"/>
  <c r="AE413" i="1"/>
  <c r="DS417" i="1"/>
  <c r="DW417" i="1" s="1"/>
  <c r="DS420" i="1"/>
  <c r="DW420" i="1" s="1"/>
  <c r="DS432" i="1"/>
  <c r="DW432" i="1" s="1"/>
  <c r="DS437" i="1"/>
  <c r="DW437" i="1" s="1"/>
  <c r="DS438" i="1"/>
  <c r="DW438" i="1" s="1"/>
  <c r="DS458" i="1"/>
  <c r="DW458" i="1" s="1"/>
  <c r="DS460" i="1"/>
  <c r="DW460" i="1" s="1"/>
  <c r="DS462" i="1"/>
  <c r="DW462" i="1" s="1"/>
  <c r="DS465" i="1"/>
  <c r="DW465" i="1" s="1"/>
  <c r="DS471" i="1"/>
  <c r="DW471" i="1" s="1"/>
  <c r="DS474" i="1"/>
  <c r="DW474" i="1" s="1"/>
  <c r="DS477" i="1"/>
  <c r="DW477" i="1" s="1"/>
  <c r="AC456" i="1"/>
  <c r="AU456" i="1"/>
  <c r="BI312" i="1"/>
  <c r="BU312" i="1"/>
  <c r="CG312" i="1"/>
  <c r="DK312" i="1"/>
  <c r="DS316" i="1"/>
  <c r="DW316" i="1" s="1"/>
  <c r="AE312" i="1"/>
  <c r="CM312" i="1"/>
  <c r="DS319" i="1"/>
  <c r="DW319" i="1" s="1"/>
  <c r="DR321" i="1"/>
  <c r="DV321" i="1" s="1"/>
  <c r="AS318" i="1"/>
  <c r="BE318" i="1"/>
  <c r="DR323" i="1"/>
  <c r="DV323" i="1" s="1"/>
  <c r="AW318" i="1"/>
  <c r="BI318" i="1"/>
  <c r="BU318" i="1"/>
  <c r="CG318" i="1"/>
  <c r="DR337" i="1"/>
  <c r="DV337" i="1" s="1"/>
  <c r="DS345" i="1"/>
  <c r="DW345" i="1" s="1"/>
  <c r="DS358" i="1"/>
  <c r="DW358" i="1" s="1"/>
  <c r="AI348" i="1"/>
  <c r="DR361" i="1"/>
  <c r="DV361" i="1" s="1"/>
  <c r="CS368" i="1"/>
  <c r="DS370" i="1"/>
  <c r="DW370" i="1" s="1"/>
  <c r="DR377" i="1"/>
  <c r="DV377" i="1" s="1"/>
  <c r="CC368" i="1"/>
  <c r="CQ368" i="1"/>
  <c r="DS383" i="1"/>
  <c r="DW383" i="1" s="1"/>
  <c r="AC388" i="1"/>
  <c r="BG388" i="1"/>
  <c r="BS388" i="1"/>
  <c r="CE388" i="1"/>
  <c r="DK388" i="1"/>
  <c r="AE397" i="1"/>
  <c r="AY397" i="1"/>
  <c r="BK397" i="1"/>
  <c r="BW397" i="1"/>
  <c r="CI397" i="1"/>
  <c r="CY397" i="1"/>
  <c r="AC403" i="1"/>
  <c r="AU403" i="1"/>
  <c r="BG403" i="1"/>
  <c r="BS403" i="1"/>
  <c r="CE403" i="1"/>
  <c r="CS403" i="1"/>
  <c r="DK403" i="1"/>
  <c r="DS405" i="1"/>
  <c r="DW405" i="1" s="1"/>
  <c r="AI403" i="1"/>
  <c r="DR416" i="1"/>
  <c r="DV416" i="1" s="1"/>
  <c r="DS428" i="1"/>
  <c r="DW428" i="1" s="1"/>
  <c r="DS441" i="1"/>
  <c r="DW441" i="1" s="1"/>
  <c r="AB456" i="1"/>
  <c r="AS456" i="1"/>
  <c r="BE456" i="1"/>
  <c r="DS479" i="1"/>
  <c r="DW479" i="1" s="1"/>
  <c r="AQ456" i="1"/>
  <c r="BC456" i="1"/>
  <c r="BO456" i="1"/>
  <c r="CA456" i="1"/>
  <c r="DG456" i="1"/>
  <c r="BM348" i="1"/>
  <c r="BY348" i="1"/>
  <c r="DS356" i="1"/>
  <c r="DW356" i="1" s="1"/>
  <c r="DS365" i="1"/>
  <c r="DW365" i="1" s="1"/>
  <c r="DR366" i="1"/>
  <c r="DV366" i="1" s="1"/>
  <c r="DR367" i="1"/>
  <c r="DV367" i="1" s="1"/>
  <c r="BI368" i="1"/>
  <c r="BU368" i="1"/>
  <c r="CG368" i="1"/>
  <c r="DM368" i="1"/>
  <c r="DS384" i="1"/>
  <c r="DW384" i="1" s="1"/>
  <c r="AE388" i="1"/>
  <c r="AW388" i="1"/>
  <c r="BI388" i="1"/>
  <c r="BU388" i="1"/>
  <c r="CG388" i="1"/>
  <c r="CU388" i="1"/>
  <c r="DS404" i="1"/>
  <c r="AE403" i="1"/>
  <c r="AW403" i="1"/>
  <c r="BI403" i="1"/>
  <c r="BU403" i="1"/>
  <c r="CG403" i="1"/>
  <c r="W403" i="1"/>
  <c r="CO403" i="1"/>
  <c r="AO413" i="1"/>
  <c r="BA413" i="1"/>
  <c r="CO413" i="1"/>
  <c r="DE413" i="1"/>
  <c r="AI413" i="1"/>
  <c r="AY413" i="1"/>
  <c r="BK413" i="1"/>
  <c r="AB413" i="1"/>
  <c r="DS421" i="1"/>
  <c r="DW421" i="1" s="1"/>
  <c r="DS443" i="1"/>
  <c r="DW443" i="1" s="1"/>
  <c r="DS445" i="1"/>
  <c r="DW445" i="1" s="1"/>
  <c r="DS447" i="1"/>
  <c r="DW447" i="1" s="1"/>
  <c r="DS449" i="1"/>
  <c r="DW449" i="1" s="1"/>
  <c r="DS451" i="1"/>
  <c r="DW451" i="1" s="1"/>
  <c r="DS453" i="1"/>
  <c r="DW453" i="1" s="1"/>
  <c r="DS455" i="1"/>
  <c r="DW455" i="1" s="1"/>
  <c r="DS463" i="1"/>
  <c r="DW463" i="1" s="1"/>
  <c r="DS466" i="1"/>
  <c r="DW466" i="1" s="1"/>
  <c r="DS472" i="1"/>
  <c r="DW472" i="1" s="1"/>
  <c r="DS475" i="1"/>
  <c r="DW475" i="1" s="1"/>
  <c r="DS478" i="1"/>
  <c r="DW478" i="1" s="1"/>
  <c r="DS480" i="1"/>
  <c r="DW480" i="1" s="1"/>
  <c r="BU348" i="1"/>
  <c r="CG348" i="1"/>
  <c r="CU348" i="1"/>
  <c r="W348" i="1"/>
  <c r="DR351" i="1"/>
  <c r="DV351" i="1" s="1"/>
  <c r="AO348" i="1"/>
  <c r="DS353" i="1"/>
  <c r="DW353" i="1" s="1"/>
  <c r="DS355" i="1"/>
  <c r="DW355" i="1" s="1"/>
  <c r="BC348" i="1"/>
  <c r="BO348" i="1"/>
  <c r="CA348" i="1"/>
  <c r="CO348" i="1"/>
  <c r="DR357" i="1"/>
  <c r="DV357" i="1" s="1"/>
  <c r="DS363" i="1"/>
  <c r="DW363" i="1" s="1"/>
  <c r="W368" i="1"/>
  <c r="DR390" i="1"/>
  <c r="DV390" i="1" s="1"/>
  <c r="BC388" i="1"/>
  <c r="BO388" i="1"/>
  <c r="CA388" i="1"/>
  <c r="DG388" i="1"/>
  <c r="DR392" i="1"/>
  <c r="DV392" i="1" s="1"/>
  <c r="CM388" i="1"/>
  <c r="CO397" i="1"/>
  <c r="CU397" i="1"/>
  <c r="DS402" i="1"/>
  <c r="DW402" i="1" s="1"/>
  <c r="AY403" i="1"/>
  <c r="BK403" i="1"/>
  <c r="BW403" i="1"/>
  <c r="CI403" i="1"/>
  <c r="DS408" i="1"/>
  <c r="DW408" i="1" s="1"/>
  <c r="DO403" i="1"/>
  <c r="W413" i="1"/>
  <c r="BQ413" i="1"/>
  <c r="CC413" i="1"/>
  <c r="CQ413" i="1"/>
  <c r="DI413" i="1"/>
  <c r="BU413" i="1"/>
  <c r="CG413" i="1"/>
  <c r="CU413" i="1"/>
  <c r="DM413" i="1"/>
  <c r="DS426" i="1"/>
  <c r="DW426" i="1" s="1"/>
  <c r="AE456" i="1"/>
  <c r="AW456" i="1"/>
  <c r="BI456" i="1"/>
  <c r="BU456" i="1"/>
  <c r="CG456" i="1"/>
  <c r="CU456" i="1"/>
  <c r="DM456" i="1"/>
  <c r="DS459" i="1"/>
  <c r="DW459" i="1" s="1"/>
  <c r="BQ456" i="1"/>
  <c r="CC456" i="1"/>
  <c r="CQ456" i="1"/>
  <c r="DI456" i="1"/>
  <c r="DS467" i="1"/>
  <c r="DW467" i="1" s="1"/>
  <c r="U456" i="1"/>
  <c r="CM456" i="1"/>
  <c r="DR359" i="1"/>
  <c r="DV359" i="1" s="1"/>
  <c r="DR364" i="1"/>
  <c r="DV364" i="1" s="1"/>
  <c r="DS364" i="1"/>
  <c r="DW364" i="1" s="1"/>
  <c r="BE368" i="1"/>
  <c r="DS373" i="1"/>
  <c r="DW373" i="1" s="1"/>
  <c r="DR375" i="1"/>
  <c r="DV375" i="1" s="1"/>
  <c r="DS377" i="1"/>
  <c r="DW377" i="1" s="1"/>
  <c r="CU368" i="1"/>
  <c r="DO388" i="1"/>
  <c r="DC403" i="1"/>
  <c r="BE413" i="1"/>
  <c r="BS413" i="1"/>
  <c r="CE413" i="1"/>
  <c r="DS422" i="1"/>
  <c r="DW422" i="1" s="1"/>
  <c r="DS423" i="1"/>
  <c r="DW423" i="1" s="1"/>
  <c r="BC413" i="1"/>
  <c r="DS427" i="1"/>
  <c r="DW427" i="1" s="1"/>
  <c r="DS431" i="1"/>
  <c r="DW431" i="1" s="1"/>
  <c r="DS435" i="1"/>
  <c r="DW435" i="1" s="1"/>
  <c r="DS440" i="1"/>
  <c r="DW440" i="1" s="1"/>
  <c r="DS464" i="1"/>
  <c r="DW464" i="1" s="1"/>
  <c r="DS470" i="1"/>
  <c r="DW470" i="1" s="1"/>
  <c r="DS473" i="1"/>
  <c r="DW473" i="1" s="1"/>
  <c r="DS476" i="1"/>
  <c r="DW476" i="1" s="1"/>
  <c r="DS357" i="1"/>
  <c r="DW357" i="1" s="1"/>
  <c r="BI348" i="1"/>
  <c r="CY348" i="1"/>
  <c r="DS367" i="1"/>
  <c r="DW367" i="1" s="1"/>
  <c r="CO368" i="1"/>
  <c r="AY368" i="1"/>
  <c r="BK368" i="1"/>
  <c r="BW368" i="1"/>
  <c r="CI368" i="1"/>
  <c r="CY368" i="1"/>
  <c r="DO368" i="1"/>
  <c r="DS380" i="1"/>
  <c r="DW380" i="1" s="1"/>
  <c r="DC368" i="1"/>
  <c r="DS390" i="1"/>
  <c r="DW390" i="1" s="1"/>
  <c r="BG456" i="1"/>
  <c r="DS16" i="1"/>
  <c r="DW17" i="1"/>
  <c r="DV16" i="1"/>
  <c r="DS22" i="1"/>
  <c r="DW22" i="1" s="1"/>
  <c r="DS27" i="1"/>
  <c r="DW27" i="1" s="1"/>
  <c r="DV44" i="1"/>
  <c r="DR43" i="1"/>
  <c r="DV43" i="1" s="1"/>
  <c r="DV38" i="1"/>
  <c r="DW56" i="1"/>
  <c r="DS55" i="1"/>
  <c r="DW55" i="1" s="1"/>
  <c r="DV34" i="1"/>
  <c r="DR33" i="1"/>
  <c r="DV33" i="1" s="1"/>
  <c r="DI36" i="1"/>
  <c r="DV73" i="1"/>
  <c r="DS25" i="1"/>
  <c r="DW25" i="1" s="1"/>
  <c r="DI50" i="1"/>
  <c r="DV298" i="1"/>
  <c r="CU324" i="1"/>
  <c r="CU318" i="1" s="1"/>
  <c r="CT318" i="1"/>
  <c r="AM485" i="1"/>
  <c r="CU19" i="1"/>
  <c r="CU18" i="1" s="1"/>
  <c r="DI19" i="1"/>
  <c r="DI18" i="1" s="1"/>
  <c r="DO19" i="1"/>
  <c r="DO18" i="1" s="1"/>
  <c r="DM20" i="1"/>
  <c r="AQ31" i="1"/>
  <c r="DS31" i="1" s="1"/>
  <c r="DW31" i="1" s="1"/>
  <c r="AS33" i="1"/>
  <c r="DS40" i="1"/>
  <c r="DW40" i="1" s="1"/>
  <c r="DM44" i="1"/>
  <c r="DM43" i="1" s="1"/>
  <c r="U50" i="1"/>
  <c r="DS51" i="1"/>
  <c r="DR52" i="1"/>
  <c r="DV52" i="1" s="1"/>
  <c r="DS54" i="1"/>
  <c r="DW54" i="1" s="1"/>
  <c r="U57" i="1"/>
  <c r="BY57" i="1"/>
  <c r="CM57" i="1"/>
  <c r="DC57" i="1"/>
  <c r="DO57" i="1"/>
  <c r="AB85" i="1"/>
  <c r="AU85" i="1"/>
  <c r="CA85" i="1"/>
  <c r="DC85" i="1"/>
  <c r="CS85" i="1"/>
  <c r="DR95" i="1"/>
  <c r="DV95" i="1" s="1"/>
  <c r="DS99" i="1"/>
  <c r="DW99" i="1" s="1"/>
  <c r="DR105" i="1"/>
  <c r="DV105" i="1" s="1"/>
  <c r="AS105" i="1"/>
  <c r="BE105" i="1"/>
  <c r="BQ105" i="1"/>
  <c r="CC105" i="1"/>
  <c r="DG105" i="1"/>
  <c r="CY115" i="1"/>
  <c r="W119" i="1"/>
  <c r="DS121" i="1"/>
  <c r="DW121" i="1" s="1"/>
  <c r="Q119" i="1"/>
  <c r="CU119" i="1"/>
  <c r="AY119" i="1"/>
  <c r="DR128" i="1"/>
  <c r="DV128" i="1" s="1"/>
  <c r="DI119" i="1"/>
  <c r="DS131" i="1"/>
  <c r="DW131" i="1" s="1"/>
  <c r="BG119" i="1"/>
  <c r="BS119" i="1"/>
  <c r="CE119" i="1"/>
  <c r="DS133" i="1"/>
  <c r="DW133" i="1" s="1"/>
  <c r="AQ139" i="1"/>
  <c r="BC139" i="1"/>
  <c r="DS148" i="1"/>
  <c r="DW148" i="1" s="1"/>
  <c r="DS153" i="1"/>
  <c r="AO164" i="1"/>
  <c r="BC164" i="1"/>
  <c r="BO164" i="1"/>
  <c r="CA164" i="1"/>
  <c r="DE164" i="1"/>
  <c r="DS176" i="1"/>
  <c r="DW176" i="1" s="1"/>
  <c r="DV246" i="1"/>
  <c r="S244" i="1"/>
  <c r="DM247" i="1"/>
  <c r="DS247" i="1" s="1"/>
  <c r="DW247" i="1" s="1"/>
  <c r="DL244" i="1"/>
  <c r="DS258" i="1"/>
  <c r="DW258" i="1" s="1"/>
  <c r="Q255" i="1"/>
  <c r="P485" i="1"/>
  <c r="V485" i="1"/>
  <c r="AF485" i="1"/>
  <c r="AN485" i="1"/>
  <c r="AZ485" i="1"/>
  <c r="BF485" i="1"/>
  <c r="BL485" i="1"/>
  <c r="BR485" i="1"/>
  <c r="BX485" i="1"/>
  <c r="CD485" i="1"/>
  <c r="CJ485" i="1"/>
  <c r="CP485" i="1"/>
  <c r="CV485" i="1"/>
  <c r="DD485" i="1"/>
  <c r="DJ485" i="1"/>
  <c r="DP485" i="1"/>
  <c r="DV17" i="1"/>
  <c r="DR19" i="1"/>
  <c r="AB33" i="1"/>
  <c r="DH36" i="1"/>
  <c r="DN36" i="1"/>
  <c r="AB36" i="1"/>
  <c r="DS38" i="1"/>
  <c r="DW38" i="1" s="1"/>
  <c r="DS41" i="1"/>
  <c r="DW41" i="1" s="1"/>
  <c r="DL43" i="1"/>
  <c r="DS45" i="1"/>
  <c r="DW45" i="1" s="1"/>
  <c r="AP50" i="1"/>
  <c r="DH50" i="1"/>
  <c r="W50" i="1"/>
  <c r="CC50" i="1"/>
  <c r="CU50" i="1"/>
  <c r="DV56" i="1"/>
  <c r="AO57" i="1"/>
  <c r="W57" i="1"/>
  <c r="CO57" i="1"/>
  <c r="DS58" i="1"/>
  <c r="DR61" i="1"/>
  <c r="DV61" i="1" s="1"/>
  <c r="DV62" i="1"/>
  <c r="DS65" i="1"/>
  <c r="DW65" i="1" s="1"/>
  <c r="DS69" i="1"/>
  <c r="DW69" i="1" s="1"/>
  <c r="DS71" i="1"/>
  <c r="DW71" i="1" s="1"/>
  <c r="DR83" i="1"/>
  <c r="DV83" i="1" s="1"/>
  <c r="U83" i="1"/>
  <c r="DS83" i="1" s="1"/>
  <c r="DW83" i="1" s="1"/>
  <c r="DF85" i="1"/>
  <c r="DF485" i="1" s="1"/>
  <c r="AC85" i="1"/>
  <c r="BM85" i="1"/>
  <c r="CI85" i="1"/>
  <c r="AS85" i="1"/>
  <c r="BY85" i="1"/>
  <c r="CO85" i="1"/>
  <c r="DS94" i="1"/>
  <c r="DW94" i="1" s="1"/>
  <c r="DS98" i="1"/>
  <c r="DW98" i="1" s="1"/>
  <c r="DS100" i="1"/>
  <c r="DW100" i="1" s="1"/>
  <c r="DS106" i="1"/>
  <c r="AY115" i="1"/>
  <c r="DS118" i="1"/>
  <c r="DW118" i="1" s="1"/>
  <c r="CQ119" i="1"/>
  <c r="DS122" i="1"/>
  <c r="DW122" i="1" s="1"/>
  <c r="DM139" i="1"/>
  <c r="DR160" i="1"/>
  <c r="DV160" i="1" s="1"/>
  <c r="DV161" i="1"/>
  <c r="DS178" i="1"/>
  <c r="DW178" i="1" s="1"/>
  <c r="DS19" i="1"/>
  <c r="AQ50" i="1"/>
  <c r="DM50" i="1"/>
  <c r="DS52" i="1"/>
  <c r="DW52" i="1" s="1"/>
  <c r="DR53" i="1"/>
  <c r="DV53" i="1" s="1"/>
  <c r="DR58" i="1"/>
  <c r="AS57" i="1"/>
  <c r="BE57" i="1"/>
  <c r="BQ57" i="1"/>
  <c r="CC57" i="1"/>
  <c r="CQ57" i="1"/>
  <c r="DG57" i="1"/>
  <c r="S72" i="1"/>
  <c r="DS75" i="1"/>
  <c r="DW75" i="1" s="1"/>
  <c r="DS81" i="1"/>
  <c r="Q80" i="1"/>
  <c r="BO85" i="1"/>
  <c r="DR96" i="1"/>
  <c r="DV96" i="1" s="1"/>
  <c r="DN85" i="1"/>
  <c r="DO96" i="1"/>
  <c r="DO85" i="1" s="1"/>
  <c r="DS110" i="1"/>
  <c r="DW110" i="1" s="1"/>
  <c r="Q105" i="1"/>
  <c r="DW116" i="1"/>
  <c r="AU119" i="1"/>
  <c r="DV140" i="1"/>
  <c r="DW140" i="1"/>
  <c r="DS145" i="1"/>
  <c r="DW145" i="1" s="1"/>
  <c r="S139" i="1"/>
  <c r="U152" i="1"/>
  <c r="AO152" i="1"/>
  <c r="BA152" i="1"/>
  <c r="BM152" i="1"/>
  <c r="BY152" i="1"/>
  <c r="CM152" i="1"/>
  <c r="DC152" i="1"/>
  <c r="DO152" i="1"/>
  <c r="DR165" i="1"/>
  <c r="AB164" i="1"/>
  <c r="AS164" i="1"/>
  <c r="BS164" i="1"/>
  <c r="CE164" i="1"/>
  <c r="CS164" i="1"/>
  <c r="DI164" i="1"/>
  <c r="AG485" i="1"/>
  <c r="AH485" i="1"/>
  <c r="AV485" i="1"/>
  <c r="BH485" i="1"/>
  <c r="BT485" i="1"/>
  <c r="CL485" i="1"/>
  <c r="DO33" i="1"/>
  <c r="DS37" i="1"/>
  <c r="DR39" i="1"/>
  <c r="DV39" i="1" s="1"/>
  <c r="BA57" i="1"/>
  <c r="DS59" i="1"/>
  <c r="DW59" i="1" s="1"/>
  <c r="DS62" i="1"/>
  <c r="DS67" i="1"/>
  <c r="DW67" i="1" s="1"/>
  <c r="DS73" i="1"/>
  <c r="Q72" i="1"/>
  <c r="DS74" i="1"/>
  <c r="DW74" i="1" s="1"/>
  <c r="CU72" i="1"/>
  <c r="DR79" i="1"/>
  <c r="DV79" i="1" s="1"/>
  <c r="BU85" i="1"/>
  <c r="CQ85" i="1"/>
  <c r="S85" i="1"/>
  <c r="DS87" i="1"/>
  <c r="DW87" i="1" s="1"/>
  <c r="DS91" i="1"/>
  <c r="DW91" i="1" s="1"/>
  <c r="AQ105" i="1"/>
  <c r="BC105" i="1"/>
  <c r="BO105" i="1"/>
  <c r="CA105" i="1"/>
  <c r="DS117" i="1"/>
  <c r="DW117" i="1" s="1"/>
  <c r="CO119" i="1"/>
  <c r="DE119" i="1"/>
  <c r="AC139" i="1"/>
  <c r="DR142" i="1"/>
  <c r="DV142" i="1" s="1"/>
  <c r="T139" i="1"/>
  <c r="U142" i="1"/>
  <c r="U139" i="1" s="1"/>
  <c r="DW161" i="1"/>
  <c r="DO120" i="1"/>
  <c r="DO119" i="1" s="1"/>
  <c r="DN119" i="1"/>
  <c r="R485" i="1"/>
  <c r="BB485" i="1"/>
  <c r="BN485" i="1"/>
  <c r="BZ485" i="1"/>
  <c r="CF485" i="1"/>
  <c r="CR485" i="1"/>
  <c r="CZ485" i="1"/>
  <c r="Q43" i="1"/>
  <c r="Q50" i="1"/>
  <c r="AE50" i="1"/>
  <c r="BW50" i="1"/>
  <c r="CO50" i="1"/>
  <c r="DO50" i="1"/>
  <c r="BO50" i="1"/>
  <c r="Q57" i="1"/>
  <c r="AE57" i="1"/>
  <c r="AW57" i="1"/>
  <c r="BI57" i="1"/>
  <c r="BU57" i="1"/>
  <c r="CG57" i="1"/>
  <c r="CU57" i="1"/>
  <c r="DK57" i="1"/>
  <c r="AB61" i="1"/>
  <c r="AW72" i="1"/>
  <c r="BI72" i="1"/>
  <c r="BU72" i="1"/>
  <c r="CG72" i="1"/>
  <c r="DS86" i="1"/>
  <c r="U85" i="1"/>
  <c r="AQ85" i="1"/>
  <c r="BW85" i="1"/>
  <c r="DK85" i="1"/>
  <c r="DS88" i="1"/>
  <c r="DW88" i="1" s="1"/>
  <c r="DS89" i="1"/>
  <c r="DW89" i="1" s="1"/>
  <c r="DS90" i="1"/>
  <c r="DW90" i="1" s="1"/>
  <c r="DR93" i="1"/>
  <c r="DV93" i="1" s="1"/>
  <c r="DM93" i="1"/>
  <c r="DM85" i="1" s="1"/>
  <c r="DS95" i="1"/>
  <c r="DW95" i="1" s="1"/>
  <c r="W105" i="1"/>
  <c r="CO105" i="1"/>
  <c r="DS109" i="1"/>
  <c r="DW109" i="1" s="1"/>
  <c r="AQ115" i="1"/>
  <c r="DS135" i="1"/>
  <c r="DW135" i="1" s="1"/>
  <c r="DH139" i="1"/>
  <c r="CQ139" i="1"/>
  <c r="DG139" i="1"/>
  <c r="DV153" i="1"/>
  <c r="DR152" i="1"/>
  <c r="DV152" i="1" s="1"/>
  <c r="AE164" i="1"/>
  <c r="CY164" i="1"/>
  <c r="AQ164" i="1"/>
  <c r="S164" i="1"/>
  <c r="DS167" i="1"/>
  <c r="DW167" i="1" s="1"/>
  <c r="AI164" i="1"/>
  <c r="AP164" i="1"/>
  <c r="AQ170" i="1"/>
  <c r="DS170" i="1" s="1"/>
  <c r="DW170" i="1" s="1"/>
  <c r="T80" i="1"/>
  <c r="DR86" i="1"/>
  <c r="AP115" i="1"/>
  <c r="DR116" i="1"/>
  <c r="AB139" i="1"/>
  <c r="DS146" i="1"/>
  <c r="DW146" i="1" s="1"/>
  <c r="DS150" i="1"/>
  <c r="DW150" i="1" s="1"/>
  <c r="W152" i="1"/>
  <c r="CO152" i="1"/>
  <c r="Q160" i="1"/>
  <c r="AB160" i="1"/>
  <c r="CY160" i="1"/>
  <c r="DS198" i="1"/>
  <c r="DW198" i="1" s="1"/>
  <c r="DS201" i="1"/>
  <c r="DW201" i="1" s="1"/>
  <c r="DS217" i="1"/>
  <c r="DW217" i="1" s="1"/>
  <c r="DR222" i="1"/>
  <c r="DV222" i="1" s="1"/>
  <c r="U244" i="1"/>
  <c r="AQ244" i="1"/>
  <c r="BC244" i="1"/>
  <c r="BO244" i="1"/>
  <c r="CA244" i="1"/>
  <c r="DE244" i="1"/>
  <c r="DS248" i="1"/>
  <c r="DW248" i="1" s="1"/>
  <c r="CS244" i="1"/>
  <c r="DI244" i="1"/>
  <c r="AE255" i="1"/>
  <c r="DV313" i="1"/>
  <c r="DS315" i="1"/>
  <c r="DW315" i="1" s="1"/>
  <c r="Q332" i="1"/>
  <c r="DR336" i="1"/>
  <c r="DV336" i="1" s="1"/>
  <c r="DO336" i="1"/>
  <c r="DS336" i="1" s="1"/>
  <c r="DW336" i="1" s="1"/>
  <c r="DR120" i="1"/>
  <c r="AS152" i="1"/>
  <c r="BE152" i="1"/>
  <c r="BQ152" i="1"/>
  <c r="CC152" i="1"/>
  <c r="DS165" i="1"/>
  <c r="Q164" i="1"/>
  <c r="AY164" i="1"/>
  <c r="BK164" i="1"/>
  <c r="BW164" i="1"/>
  <c r="CI164" i="1"/>
  <c r="DM164" i="1"/>
  <c r="DS228" i="1"/>
  <c r="DW228" i="1" s="1"/>
  <c r="DS231" i="1"/>
  <c r="DW231" i="1" s="1"/>
  <c r="DS234" i="1"/>
  <c r="DW234" i="1" s="1"/>
  <c r="S255" i="1"/>
  <c r="DS257" i="1"/>
  <c r="DW257" i="1" s="1"/>
  <c r="U265" i="1"/>
  <c r="DR284" i="1"/>
  <c r="DV284" i="1" s="1"/>
  <c r="AB282" i="1"/>
  <c r="AS282" i="1"/>
  <c r="DS284" i="1"/>
  <c r="DW284" i="1" s="1"/>
  <c r="BE282" i="1"/>
  <c r="BQ282" i="1"/>
  <c r="CC282" i="1"/>
  <c r="CQ282" i="1"/>
  <c r="DN80" i="1"/>
  <c r="U84" i="1"/>
  <c r="DS84" i="1" s="1"/>
  <c r="DW84" i="1" s="1"/>
  <c r="AB119" i="1"/>
  <c r="AT119" i="1"/>
  <c r="U128" i="1"/>
  <c r="U119" i="1" s="1"/>
  <c r="DR131" i="1"/>
  <c r="DV131" i="1" s="1"/>
  <c r="DM134" i="1"/>
  <c r="DM119" i="1" s="1"/>
  <c r="DI142" i="1"/>
  <c r="DI139" i="1" s="1"/>
  <c r="DI152" i="1"/>
  <c r="U163" i="1"/>
  <c r="U160" i="1" s="1"/>
  <c r="DC164" i="1"/>
  <c r="DO164" i="1"/>
  <c r="DS197" i="1"/>
  <c r="DW197" i="1" s="1"/>
  <c r="DS200" i="1"/>
  <c r="DW200" i="1" s="1"/>
  <c r="DS212" i="1"/>
  <c r="DW212" i="1" s="1"/>
  <c r="AW255" i="1"/>
  <c r="BI255" i="1"/>
  <c r="CG255" i="1"/>
  <c r="CU255" i="1"/>
  <c r="DK255" i="1"/>
  <c r="DR81" i="1"/>
  <c r="Q152" i="1"/>
  <c r="CU152" i="1"/>
  <c r="DS154" i="1"/>
  <c r="DW154" i="1" s="1"/>
  <c r="CO164" i="1"/>
  <c r="DG164" i="1"/>
  <c r="DS168" i="1"/>
  <c r="DW168" i="1" s="1"/>
  <c r="DS203" i="1"/>
  <c r="DW203" i="1" s="1"/>
  <c r="DN244" i="1"/>
  <c r="DO246" i="1"/>
  <c r="DO244" i="1" s="1"/>
  <c r="DM255" i="1"/>
  <c r="DS266" i="1"/>
  <c r="DR267" i="1"/>
  <c r="DV267" i="1" s="1"/>
  <c r="AB265" i="1"/>
  <c r="AW297" i="1"/>
  <c r="BI297" i="1"/>
  <c r="DM57" i="1"/>
  <c r="CX85" i="1"/>
  <c r="CX485" i="1" s="1"/>
  <c r="AP119" i="1"/>
  <c r="W164" i="1"/>
  <c r="BE164" i="1"/>
  <c r="BQ164" i="1"/>
  <c r="CC164" i="1"/>
  <c r="DS199" i="1"/>
  <c r="DW199" i="1" s="1"/>
  <c r="DS210" i="1"/>
  <c r="DW210" i="1" s="1"/>
  <c r="BW244" i="1"/>
  <c r="CY244" i="1"/>
  <c r="DM244" i="1"/>
  <c r="DI250" i="1"/>
  <c r="DS250" i="1" s="1"/>
  <c r="DW250" i="1" s="1"/>
  <c r="DH244" i="1"/>
  <c r="AS265" i="1"/>
  <c r="CC265" i="1"/>
  <c r="DG265" i="1"/>
  <c r="DS241" i="1"/>
  <c r="DW241" i="1" s="1"/>
  <c r="CQ244" i="1"/>
  <c r="DS245" i="1"/>
  <c r="AO244" i="1"/>
  <c r="BA244" i="1"/>
  <c r="BM244" i="1"/>
  <c r="BY244" i="1"/>
  <c r="DS251" i="1"/>
  <c r="DW251" i="1" s="1"/>
  <c r="AO255" i="1"/>
  <c r="DS264" i="1"/>
  <c r="DW264" i="1" s="1"/>
  <c r="DK265" i="1"/>
  <c r="CY271" i="1"/>
  <c r="CY270" i="1" s="1"/>
  <c r="CX270" i="1"/>
  <c r="S270" i="1"/>
  <c r="AI270" i="1"/>
  <c r="DN270" i="1"/>
  <c r="DO275" i="1"/>
  <c r="DS275" i="1" s="1"/>
  <c r="DW275" i="1" s="1"/>
  <c r="AC282" i="1"/>
  <c r="AU282" i="1"/>
  <c r="BG282" i="1"/>
  <c r="BS282" i="1"/>
  <c r="CE282" i="1"/>
  <c r="CS282" i="1"/>
  <c r="DG282" i="1"/>
  <c r="DR285" i="1"/>
  <c r="DV285" i="1" s="1"/>
  <c r="AY282" i="1"/>
  <c r="BK282" i="1"/>
  <c r="BW282" i="1"/>
  <c r="CI282" i="1"/>
  <c r="CU297" i="1"/>
  <c r="DS308" i="1"/>
  <c r="DW308" i="1" s="1"/>
  <c r="U312" i="1"/>
  <c r="AO312" i="1"/>
  <c r="DR320" i="1"/>
  <c r="DV320" i="1" s="1"/>
  <c r="S318" i="1"/>
  <c r="AI318" i="1"/>
  <c r="AQ332" i="1"/>
  <c r="BO332" i="1"/>
  <c r="CA332" i="1"/>
  <c r="DR399" i="1"/>
  <c r="DV399" i="1" s="1"/>
  <c r="AB397" i="1"/>
  <c r="DR203" i="1"/>
  <c r="DV203" i="1" s="1"/>
  <c r="DS240" i="1"/>
  <c r="DW240" i="1" s="1"/>
  <c r="AU244" i="1"/>
  <c r="BG244" i="1"/>
  <c r="BS244" i="1"/>
  <c r="CE244" i="1"/>
  <c r="AB255" i="1"/>
  <c r="BA255" i="1"/>
  <c r="BM255" i="1"/>
  <c r="BY255" i="1"/>
  <c r="DH265" i="1"/>
  <c r="W270" i="1"/>
  <c r="AO270" i="1"/>
  <c r="BA270" i="1"/>
  <c r="BM270" i="1"/>
  <c r="BY270" i="1"/>
  <c r="AI277" i="1"/>
  <c r="AY277" i="1"/>
  <c r="BK277" i="1"/>
  <c r="BW277" i="1"/>
  <c r="CI277" i="1"/>
  <c r="DM277" i="1"/>
  <c r="AE282" i="1"/>
  <c r="DR283" i="1"/>
  <c r="CO282" i="1"/>
  <c r="DE282" i="1"/>
  <c r="S297" i="1"/>
  <c r="AI297" i="1"/>
  <c r="BK297" i="1"/>
  <c r="DR300" i="1"/>
  <c r="DV300" i="1" s="1"/>
  <c r="DK297" i="1"/>
  <c r="AO318" i="1"/>
  <c r="BA318" i="1"/>
  <c r="BM318" i="1"/>
  <c r="BY318" i="1"/>
  <c r="CM318" i="1"/>
  <c r="DS320" i="1"/>
  <c r="DW320" i="1" s="1"/>
  <c r="AU320" i="1"/>
  <c r="AU318" i="1" s="1"/>
  <c r="AT318" i="1"/>
  <c r="BE332" i="1"/>
  <c r="BQ332" i="1"/>
  <c r="CC332" i="1"/>
  <c r="CQ332" i="1"/>
  <c r="DW404" i="1"/>
  <c r="DS223" i="1"/>
  <c r="DW223" i="1" s="1"/>
  <c r="DS239" i="1"/>
  <c r="DW239" i="1" s="1"/>
  <c r="AC244" i="1"/>
  <c r="DK244" i="1"/>
  <c r="DR247" i="1"/>
  <c r="DV247" i="1" s="1"/>
  <c r="AC255" i="1"/>
  <c r="AO265" i="1"/>
  <c r="BA265" i="1"/>
  <c r="BM265" i="1"/>
  <c r="BY265" i="1"/>
  <c r="DS268" i="1"/>
  <c r="DW268" i="1" s="1"/>
  <c r="DI274" i="1"/>
  <c r="DI270" i="1" s="1"/>
  <c r="DH270" i="1"/>
  <c r="DS276" i="1"/>
  <c r="DW276" i="1" s="1"/>
  <c r="DR278" i="1"/>
  <c r="U278" i="1"/>
  <c r="DW283" i="1"/>
  <c r="DS290" i="1"/>
  <c r="DW290" i="1" s="1"/>
  <c r="Q282" i="1"/>
  <c r="Q297" i="1"/>
  <c r="BW297" i="1"/>
  <c r="CI297" i="1"/>
  <c r="CY297" i="1"/>
  <c r="BM297" i="1"/>
  <c r="BY297" i="1"/>
  <c r="DL297" i="1"/>
  <c r="DM300" i="1"/>
  <c r="DM297" i="1" s="1"/>
  <c r="CQ312" i="1"/>
  <c r="DG312" i="1"/>
  <c r="DS321" i="1"/>
  <c r="DW321" i="1" s="1"/>
  <c r="DR324" i="1"/>
  <c r="DV324" i="1" s="1"/>
  <c r="DI332" i="1"/>
  <c r="DV333" i="1"/>
  <c r="DR332" i="1"/>
  <c r="DV332" i="1" s="1"/>
  <c r="DS222" i="1"/>
  <c r="DW222" i="1" s="1"/>
  <c r="DS238" i="1"/>
  <c r="DW238" i="1" s="1"/>
  <c r="DS254" i="1"/>
  <c r="DW254" i="1" s="1"/>
  <c r="DS256" i="1"/>
  <c r="DM267" i="1"/>
  <c r="DM265" i="1" s="1"/>
  <c r="DS269" i="1"/>
  <c r="DW269" i="1" s="1"/>
  <c r="Q277" i="1"/>
  <c r="DH277" i="1"/>
  <c r="DI279" i="1"/>
  <c r="DI277" i="1" s="1"/>
  <c r="BA282" i="1"/>
  <c r="BM282" i="1"/>
  <c r="BY282" i="1"/>
  <c r="CM282" i="1"/>
  <c r="DM282" i="1"/>
  <c r="DC297" i="1"/>
  <c r="DS311" i="1"/>
  <c r="DW311" i="1" s="1"/>
  <c r="AU313" i="1"/>
  <c r="AU312" i="1" s="1"/>
  <c r="AT312" i="1"/>
  <c r="DS314" i="1"/>
  <c r="DW314" i="1" s="1"/>
  <c r="DV319" i="1"/>
  <c r="DR318" i="1"/>
  <c r="DV318" i="1" s="1"/>
  <c r="DN318" i="1"/>
  <c r="DO323" i="1"/>
  <c r="DO318" i="1" s="1"/>
  <c r="AW332" i="1"/>
  <c r="BI332" i="1"/>
  <c r="DW349" i="1"/>
  <c r="DM360" i="1"/>
  <c r="DL348" i="1"/>
  <c r="DS374" i="1"/>
  <c r="DW374" i="1" s="1"/>
  <c r="Q368" i="1"/>
  <c r="DR418" i="1"/>
  <c r="DV418" i="1" s="1"/>
  <c r="DS237" i="1"/>
  <c r="DW237" i="1" s="1"/>
  <c r="DS243" i="1"/>
  <c r="DW243" i="1" s="1"/>
  <c r="AB244" i="1"/>
  <c r="AU255" i="1"/>
  <c r="BG255" i="1"/>
  <c r="BS255" i="1"/>
  <c r="CE255" i="1"/>
  <c r="CQ265" i="1"/>
  <c r="AU270" i="1"/>
  <c r="BG270" i="1"/>
  <c r="BS270" i="1"/>
  <c r="CE270" i="1"/>
  <c r="DV271" i="1"/>
  <c r="DR274" i="1"/>
  <c r="DV274" i="1" s="1"/>
  <c r="DL270" i="1"/>
  <c r="DM274" i="1"/>
  <c r="DM270" i="1" s="1"/>
  <c r="AQ282" i="1"/>
  <c r="BC282" i="1"/>
  <c r="BO282" i="1"/>
  <c r="CA282" i="1"/>
  <c r="Q295" i="1"/>
  <c r="DS296" i="1"/>
  <c r="AO297" i="1"/>
  <c r="BA297" i="1"/>
  <c r="CO297" i="1"/>
  <c r="DE297" i="1"/>
  <c r="DO297" i="1"/>
  <c r="DR299" i="1"/>
  <c r="DV299" i="1" s="1"/>
  <c r="AB297" i="1"/>
  <c r="DR301" i="1"/>
  <c r="DV301" i="1" s="1"/>
  <c r="DS304" i="1"/>
  <c r="DW304" i="1" s="1"/>
  <c r="DR308" i="1"/>
  <c r="DV308" i="1" s="1"/>
  <c r="DS313" i="1"/>
  <c r="CY312" i="1"/>
  <c r="AC318" i="1"/>
  <c r="BG318" i="1"/>
  <c r="BS318" i="1"/>
  <c r="CE318" i="1"/>
  <c r="CS318" i="1"/>
  <c r="DK318" i="1"/>
  <c r="DE318" i="1"/>
  <c r="DS324" i="1"/>
  <c r="DW324" i="1" s="1"/>
  <c r="DS331" i="1"/>
  <c r="DW331" i="1" s="1"/>
  <c r="CM332" i="1"/>
  <c r="DS337" i="1"/>
  <c r="DW337" i="1" s="1"/>
  <c r="DS359" i="1"/>
  <c r="DW359" i="1" s="1"/>
  <c r="S348" i="1"/>
  <c r="S265" i="1"/>
  <c r="DH297" i="1"/>
  <c r="DS298" i="1"/>
  <c r="AB318" i="1"/>
  <c r="DS325" i="1"/>
  <c r="DW325" i="1" s="1"/>
  <c r="DS326" i="1"/>
  <c r="DW326" i="1" s="1"/>
  <c r="DS330" i="1"/>
  <c r="DW330" i="1" s="1"/>
  <c r="CU333" i="1"/>
  <c r="CU332" i="1" s="1"/>
  <c r="CT332" i="1"/>
  <c r="U368" i="1"/>
  <c r="AO368" i="1"/>
  <c r="DS372" i="1"/>
  <c r="DW372" i="1" s="1"/>
  <c r="CM368" i="1"/>
  <c r="Q388" i="1"/>
  <c r="DL388" i="1"/>
  <c r="DM389" i="1"/>
  <c r="DM388" i="1" s="1"/>
  <c r="AY388" i="1"/>
  <c r="BK388" i="1"/>
  <c r="BW388" i="1"/>
  <c r="CI388" i="1"/>
  <c r="CY388" i="1"/>
  <c r="DS392" i="1"/>
  <c r="DW392" i="1" s="1"/>
  <c r="DS394" i="1"/>
  <c r="DW394" i="1" s="1"/>
  <c r="DS396" i="1"/>
  <c r="DW396" i="1" s="1"/>
  <c r="BA403" i="1"/>
  <c r="BM403" i="1"/>
  <c r="BY403" i="1"/>
  <c r="CM403" i="1"/>
  <c r="DS407" i="1"/>
  <c r="DW407" i="1" s="1"/>
  <c r="DS409" i="1"/>
  <c r="DW409" i="1" s="1"/>
  <c r="DS411" i="1"/>
  <c r="DW411" i="1" s="1"/>
  <c r="DV414" i="1"/>
  <c r="DR413" i="1"/>
  <c r="DV413" i="1" s="1"/>
  <c r="AS413" i="1"/>
  <c r="DK413" i="1"/>
  <c r="DS416" i="1"/>
  <c r="DW416" i="1" s="1"/>
  <c r="DS419" i="1"/>
  <c r="DW419" i="1" s="1"/>
  <c r="T270" i="1"/>
  <c r="CT282" i="1"/>
  <c r="DR295" i="1"/>
  <c r="DV295" i="1" s="1"/>
  <c r="DE332" i="1"/>
  <c r="U348" i="1"/>
  <c r="CM348" i="1"/>
  <c r="DC348" i="1"/>
  <c r="DM348" i="1"/>
  <c r="BK348" i="1"/>
  <c r="BW348" i="1"/>
  <c r="CI348" i="1"/>
  <c r="DS354" i="1"/>
  <c r="DW354" i="1" s="1"/>
  <c r="AQ366" i="1"/>
  <c r="AQ348" i="1" s="1"/>
  <c r="AP348" i="1"/>
  <c r="AQ368" i="1"/>
  <c r="DV369" i="1"/>
  <c r="AP368" i="1"/>
  <c r="AQ371" i="1"/>
  <c r="DS371" i="1" s="1"/>
  <c r="DW371" i="1" s="1"/>
  <c r="DS375" i="1"/>
  <c r="DW375" i="1" s="1"/>
  <c r="S368" i="1"/>
  <c r="AI368" i="1"/>
  <c r="BA368" i="1"/>
  <c r="BM368" i="1"/>
  <c r="BY368" i="1"/>
  <c r="DS379" i="1"/>
  <c r="DW379" i="1" s="1"/>
  <c r="DS382" i="1"/>
  <c r="DW382" i="1" s="1"/>
  <c r="DS385" i="1"/>
  <c r="DW385" i="1" s="1"/>
  <c r="AB388" i="1"/>
  <c r="DR391" i="1"/>
  <c r="DV391" i="1" s="1"/>
  <c r="AS397" i="1"/>
  <c r="BE397" i="1"/>
  <c r="BQ397" i="1"/>
  <c r="CC397" i="1"/>
  <c r="CQ397" i="1"/>
  <c r="DI397" i="1"/>
  <c r="DS399" i="1"/>
  <c r="DW399" i="1" s="1"/>
  <c r="DS401" i="1"/>
  <c r="DW401" i="1" s="1"/>
  <c r="U403" i="1"/>
  <c r="AO403" i="1"/>
  <c r="AQ403" i="1"/>
  <c r="DR406" i="1"/>
  <c r="DV406" i="1" s="1"/>
  <c r="AB403" i="1"/>
  <c r="AS403" i="1"/>
  <c r="BE403" i="1"/>
  <c r="BQ403" i="1"/>
  <c r="CC403" i="1"/>
  <c r="DI403" i="1"/>
  <c r="AU413" i="1"/>
  <c r="Q483" i="1"/>
  <c r="DM484" i="1"/>
  <c r="DM483" i="1" s="1"/>
  <c r="DL483" i="1"/>
  <c r="DR314" i="1"/>
  <c r="DV314" i="1" s="1"/>
  <c r="DS329" i="1"/>
  <c r="DW329" i="1" s="1"/>
  <c r="DK332" i="1"/>
  <c r="DS339" i="1"/>
  <c r="DW339" i="1" s="1"/>
  <c r="DS343" i="1"/>
  <c r="DW343" i="1" s="1"/>
  <c r="BC368" i="1"/>
  <c r="BO368" i="1"/>
  <c r="CA368" i="1"/>
  <c r="DG368" i="1"/>
  <c r="DH368" i="1"/>
  <c r="DI381" i="1"/>
  <c r="DI368" i="1" s="1"/>
  <c r="AO388" i="1"/>
  <c r="BA388" i="1"/>
  <c r="BM388" i="1"/>
  <c r="BY388" i="1"/>
  <c r="DC388" i="1"/>
  <c r="DR397" i="1"/>
  <c r="DV397" i="1" s="1"/>
  <c r="Q413" i="1"/>
  <c r="DS414" i="1"/>
  <c r="AW413" i="1"/>
  <c r="BI413" i="1"/>
  <c r="BW413" i="1"/>
  <c r="CI413" i="1"/>
  <c r="CY413" i="1"/>
  <c r="DO413" i="1"/>
  <c r="DS418" i="1"/>
  <c r="DW418" i="1" s="1"/>
  <c r="U318" i="1"/>
  <c r="DS323" i="1"/>
  <c r="DW323" i="1" s="1"/>
  <c r="W332" i="1"/>
  <c r="CY332" i="1"/>
  <c r="AB348" i="1"/>
  <c r="AS348" i="1"/>
  <c r="BE348" i="1"/>
  <c r="BQ348" i="1"/>
  <c r="CC348" i="1"/>
  <c r="CQ348" i="1"/>
  <c r="DR350" i="1"/>
  <c r="DV350" i="1" s="1"/>
  <c r="DG348" i="1"/>
  <c r="DS352" i="1"/>
  <c r="DW352" i="1" s="1"/>
  <c r="DR360" i="1"/>
  <c r="DV360" i="1" s="1"/>
  <c r="AC368" i="1"/>
  <c r="BS368" i="1"/>
  <c r="CE368" i="1"/>
  <c r="DK368" i="1"/>
  <c r="DS376" i="1"/>
  <c r="DW376" i="1" s="1"/>
  <c r="DE368" i="1"/>
  <c r="DR381" i="1"/>
  <c r="DV381" i="1" s="1"/>
  <c r="DS386" i="1"/>
  <c r="DW386" i="1" s="1"/>
  <c r="CO388" i="1"/>
  <c r="DS393" i="1"/>
  <c r="DW393" i="1" s="1"/>
  <c r="DS395" i="1"/>
  <c r="DW395" i="1" s="1"/>
  <c r="DL397" i="1"/>
  <c r="DM398" i="1"/>
  <c r="DM397" i="1" s="1"/>
  <c r="CQ403" i="1"/>
  <c r="DS412" i="1"/>
  <c r="DW412" i="1" s="1"/>
  <c r="AQ413" i="1"/>
  <c r="DO334" i="1"/>
  <c r="DS334" i="1" s="1"/>
  <c r="DW334" i="1" s="1"/>
  <c r="DN332" i="1"/>
  <c r="AT348" i="1"/>
  <c r="AU350" i="1"/>
  <c r="AU348" i="1" s="1"/>
  <c r="DH348" i="1"/>
  <c r="DI351" i="1"/>
  <c r="DI348" i="1" s="1"/>
  <c r="AE368" i="1"/>
  <c r="U388" i="1"/>
  <c r="Q397" i="1"/>
  <c r="DS415" i="1"/>
  <c r="DW415" i="1" s="1"/>
  <c r="S413" i="1"/>
  <c r="DS351" i="1"/>
  <c r="DW351" i="1" s="1"/>
  <c r="AB368" i="1"/>
  <c r="DS434" i="1"/>
  <c r="DW434" i="1" s="1"/>
  <c r="DS436" i="1"/>
  <c r="DW436" i="1" s="1"/>
  <c r="W456" i="1"/>
  <c r="CO456" i="1"/>
  <c r="CY456" i="1"/>
  <c r="DN403" i="1"/>
  <c r="DV461" i="1"/>
  <c r="DR456" i="1"/>
  <c r="DV456" i="1" s="1"/>
  <c r="DS469" i="1"/>
  <c r="DW469" i="1" s="1"/>
  <c r="DR349" i="1"/>
  <c r="DR404" i="1"/>
  <c r="DS425" i="1"/>
  <c r="DW425" i="1" s="1"/>
  <c r="DS439" i="1"/>
  <c r="DW439" i="1" s="1"/>
  <c r="DI360" i="1"/>
  <c r="DS360" i="1" s="1"/>
  <c r="DW360" i="1" s="1"/>
  <c r="DH388" i="1"/>
  <c r="AU391" i="1"/>
  <c r="AU388" i="1" s="1"/>
  <c r="DH397" i="1"/>
  <c r="AT403" i="1"/>
  <c r="Q456" i="1"/>
  <c r="DS457" i="1"/>
  <c r="AP332" i="1"/>
  <c r="DL332" i="1"/>
  <c r="DN368" i="1"/>
  <c r="S403" i="1"/>
  <c r="AY456" i="1"/>
  <c r="BK456" i="1"/>
  <c r="BW456" i="1"/>
  <c r="CI456" i="1"/>
  <c r="DO456" i="1"/>
  <c r="DS461" i="1"/>
  <c r="DW461" i="1" s="1"/>
  <c r="S456" i="1"/>
  <c r="AI456" i="1"/>
  <c r="DS482" i="1"/>
  <c r="DW482" i="1" s="1"/>
  <c r="DN483" i="1"/>
  <c r="DO484" i="1"/>
  <c r="DO483" i="1" s="1"/>
  <c r="DR484" i="1"/>
  <c r="DS481" i="1"/>
  <c r="DW481" i="1" s="1"/>
  <c r="DS282" i="1" l="1"/>
  <c r="DW282" i="1" s="1"/>
  <c r="BK485" i="1"/>
  <c r="AI485" i="1"/>
  <c r="CO485" i="1"/>
  <c r="AO485" i="1"/>
  <c r="DR139" i="1"/>
  <c r="DV139" i="1" s="1"/>
  <c r="BE485" i="1"/>
  <c r="DS142" i="1"/>
  <c r="DW142" i="1" s="1"/>
  <c r="CT485" i="1"/>
  <c r="DL485" i="1"/>
  <c r="BY485" i="1"/>
  <c r="AP485" i="1"/>
  <c r="AB485" i="1"/>
  <c r="AW485" i="1"/>
  <c r="BW485" i="1"/>
  <c r="S485" i="1"/>
  <c r="DC485" i="1"/>
  <c r="DC3" i="1" s="1"/>
  <c r="BM485" i="1"/>
  <c r="DS33" i="1"/>
  <c r="DW33" i="1" s="1"/>
  <c r="BG485" i="1"/>
  <c r="CA485" i="1"/>
  <c r="DR265" i="1"/>
  <c r="DV265" i="1" s="1"/>
  <c r="DG485" i="1"/>
  <c r="AE485" i="1"/>
  <c r="AC485" i="1"/>
  <c r="DN485" i="1"/>
  <c r="DI485" i="1"/>
  <c r="AU368" i="1"/>
  <c r="AT485" i="1"/>
  <c r="BC485" i="1"/>
  <c r="T485" i="1"/>
  <c r="W485" i="1"/>
  <c r="DH485" i="1"/>
  <c r="CY485" i="1"/>
  <c r="CU485" i="1"/>
  <c r="AQ18" i="1"/>
  <c r="BQ485" i="1"/>
  <c r="DR388" i="1"/>
  <c r="DV388" i="1" s="1"/>
  <c r="CM485" i="1"/>
  <c r="DS279" i="1"/>
  <c r="DW279" i="1" s="1"/>
  <c r="BS485" i="1"/>
  <c r="CS485" i="1"/>
  <c r="BO485" i="1"/>
  <c r="Q485" i="1"/>
  <c r="DE485" i="1"/>
  <c r="AY485" i="1"/>
  <c r="CE485" i="1"/>
  <c r="AQ485" i="1"/>
  <c r="AU485" i="1"/>
  <c r="DV349" i="1"/>
  <c r="DR348" i="1"/>
  <c r="DV348" i="1" s="1"/>
  <c r="DS398" i="1"/>
  <c r="DW414" i="1"/>
  <c r="DS413" i="1"/>
  <c r="DW413" i="1" s="1"/>
  <c r="DS484" i="1"/>
  <c r="DR368" i="1"/>
  <c r="DV368" i="1" s="1"/>
  <c r="DS389" i="1"/>
  <c r="DW245" i="1"/>
  <c r="DO270" i="1"/>
  <c r="DS246" i="1"/>
  <c r="DW246" i="1" s="1"/>
  <c r="DV116" i="1"/>
  <c r="DR115" i="1"/>
  <c r="DV115" i="1" s="1"/>
  <c r="DS20" i="1"/>
  <c r="DW20" i="1" s="1"/>
  <c r="CG485" i="1"/>
  <c r="DS128" i="1"/>
  <c r="DW128" i="1" s="1"/>
  <c r="U80" i="1"/>
  <c r="DW37" i="1"/>
  <c r="DS36" i="1"/>
  <c r="DW36" i="1" s="1"/>
  <c r="DS271" i="1"/>
  <c r="DS115" i="1"/>
  <c r="DW115" i="1" s="1"/>
  <c r="DV19" i="1"/>
  <c r="DR18" i="1"/>
  <c r="DS381" i="1"/>
  <c r="DW381" i="1" s="1"/>
  <c r="DW298" i="1"/>
  <c r="DS295" i="1"/>
  <c r="DW295" i="1" s="1"/>
  <c r="DW296" i="1"/>
  <c r="DS300" i="1"/>
  <c r="DW300" i="1" s="1"/>
  <c r="DS403" i="1"/>
  <c r="DW403" i="1" s="1"/>
  <c r="DO332" i="1"/>
  <c r="DV283" i="1"/>
  <c r="DR282" i="1"/>
  <c r="DV282" i="1" s="1"/>
  <c r="DS120" i="1"/>
  <c r="DW62" i="1"/>
  <c r="DS61" i="1"/>
  <c r="DW61" i="1" s="1"/>
  <c r="DK485" i="1"/>
  <c r="DS93" i="1"/>
  <c r="DW93" i="1" s="1"/>
  <c r="DR244" i="1"/>
  <c r="DV244" i="1" s="1"/>
  <c r="DS50" i="1"/>
  <c r="DW50" i="1" s="1"/>
  <c r="DW51" i="1"/>
  <c r="DR72" i="1"/>
  <c r="DV72" i="1" s="1"/>
  <c r="DR36" i="1"/>
  <c r="DV36" i="1" s="1"/>
  <c r="DV484" i="1"/>
  <c r="DR483" i="1"/>
  <c r="DV483" i="1" s="1"/>
  <c r="DS333" i="1"/>
  <c r="DS312" i="1"/>
  <c r="DW312" i="1" s="1"/>
  <c r="DW313" i="1"/>
  <c r="DS350" i="1"/>
  <c r="DW266" i="1"/>
  <c r="DV86" i="1"/>
  <c r="DR85" i="1"/>
  <c r="DV85" i="1" s="1"/>
  <c r="BI485" i="1"/>
  <c r="CQ485" i="1"/>
  <c r="DV165" i="1"/>
  <c r="DR164" i="1"/>
  <c r="DV164" i="1" s="1"/>
  <c r="DS139" i="1"/>
  <c r="DW139" i="1" s="1"/>
  <c r="DR50" i="1"/>
  <c r="DV50" i="1" s="1"/>
  <c r="DM18" i="1"/>
  <c r="DM485" i="1" s="1"/>
  <c r="DR270" i="1"/>
  <c r="DV270" i="1" s="1"/>
  <c r="DW256" i="1"/>
  <c r="DS255" i="1"/>
  <c r="DW255" i="1" s="1"/>
  <c r="DS274" i="1"/>
  <c r="DW274" i="1" s="1"/>
  <c r="DR119" i="1"/>
  <c r="DV119" i="1" s="1"/>
  <c r="DV120" i="1"/>
  <c r="DW19" i="1"/>
  <c r="DS105" i="1"/>
  <c r="DW105" i="1" s="1"/>
  <c r="DW106" i="1"/>
  <c r="DS163" i="1"/>
  <c r="DW153" i="1"/>
  <c r="DS152" i="1"/>
  <c r="DW152" i="1" s="1"/>
  <c r="AS485" i="1"/>
  <c r="CI485" i="1"/>
  <c r="BU485" i="1"/>
  <c r="DS44" i="1"/>
  <c r="DS391" i="1"/>
  <c r="DW391" i="1" s="1"/>
  <c r="DV404" i="1"/>
  <c r="DR403" i="1"/>
  <c r="DV403" i="1" s="1"/>
  <c r="DS366" i="1"/>
  <c r="DW366" i="1" s="1"/>
  <c r="DS278" i="1"/>
  <c r="U277" i="1"/>
  <c r="DS164" i="1"/>
  <c r="DW164" i="1" s="1"/>
  <c r="DW165" i="1"/>
  <c r="DR312" i="1"/>
  <c r="DV312" i="1" s="1"/>
  <c r="DW86" i="1"/>
  <c r="BA485" i="1"/>
  <c r="DS80" i="1"/>
  <c r="DW80" i="1" s="1"/>
  <c r="DW81" i="1"/>
  <c r="DV58" i="1"/>
  <c r="DR57" i="1"/>
  <c r="DV57" i="1" s="1"/>
  <c r="DS96" i="1"/>
  <c r="DW96" i="1" s="1"/>
  <c r="CC485" i="1"/>
  <c r="DR297" i="1"/>
  <c r="DV297" i="1" s="1"/>
  <c r="DS134" i="1"/>
  <c r="DW134" i="1" s="1"/>
  <c r="DW457" i="1"/>
  <c r="DS456" i="1"/>
  <c r="DW456" i="1" s="1"/>
  <c r="DV278" i="1"/>
  <c r="DR277" i="1"/>
  <c r="DV277" i="1" s="1"/>
  <c r="DS267" i="1"/>
  <c r="DW267" i="1" s="1"/>
  <c r="DS318" i="1"/>
  <c r="DW318" i="1" s="1"/>
  <c r="DR80" i="1"/>
  <c r="DV80" i="1" s="1"/>
  <c r="DV81" i="1"/>
  <c r="DW73" i="1"/>
  <c r="DS72" i="1"/>
  <c r="DW72" i="1" s="1"/>
  <c r="DS57" i="1"/>
  <c r="DW57" i="1" s="1"/>
  <c r="DW58" i="1"/>
  <c r="DW16" i="1"/>
  <c r="U485" i="1" l="1"/>
  <c r="DO485" i="1"/>
  <c r="DS85" i="1"/>
  <c r="DW85" i="1" s="1"/>
  <c r="DS43" i="1"/>
  <c r="DW43" i="1" s="1"/>
  <c r="DW44" i="1"/>
  <c r="DS18" i="1"/>
  <c r="DS332" i="1"/>
  <c r="DW332" i="1" s="1"/>
  <c r="DW333" i="1"/>
  <c r="DS483" i="1"/>
  <c r="DW483" i="1" s="1"/>
  <c r="DW484" i="1"/>
  <c r="DS368" i="1"/>
  <c r="DW368" i="1" s="1"/>
  <c r="DW278" i="1"/>
  <c r="DS277" i="1"/>
  <c r="DW277" i="1" s="1"/>
  <c r="DS297" i="1"/>
  <c r="DW297" i="1" s="1"/>
  <c r="DW163" i="1"/>
  <c r="DS160" i="1"/>
  <c r="DW160" i="1" s="1"/>
  <c r="DS265" i="1"/>
  <c r="DW265" i="1" s="1"/>
  <c r="DW120" i="1"/>
  <c r="DS119" i="1"/>
  <c r="DW119" i="1" s="1"/>
  <c r="DS244" i="1"/>
  <c r="DW244" i="1" s="1"/>
  <c r="DW350" i="1"/>
  <c r="DS348" i="1"/>
  <c r="DW348" i="1" s="1"/>
  <c r="DS397" i="1"/>
  <c r="DW397" i="1" s="1"/>
  <c r="DW398" i="1"/>
  <c r="DS388" i="1"/>
  <c r="DW388" i="1" s="1"/>
  <c r="DW389" i="1"/>
  <c r="DV18" i="1"/>
  <c r="DR485" i="1"/>
  <c r="DW271" i="1"/>
  <c r="DS270" i="1"/>
  <c r="DW270" i="1" s="1"/>
  <c r="DW18" i="1" l="1"/>
  <c r="DS485" i="1"/>
  <c r="DV485" i="1"/>
  <c r="DW485" i="1" l="1"/>
</calcChain>
</file>

<file path=xl/comments1.xml><?xml version="1.0" encoding="utf-8"?>
<comments xmlns="http://schemas.openxmlformats.org/spreadsheetml/2006/main">
  <authors>
    <author>Автор</author>
  </authors>
  <commentList>
    <comment ref="AT16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</commentList>
</comments>
</file>

<file path=xl/sharedStrings.xml><?xml version="1.0" encoding="utf-8"?>
<sst xmlns="http://schemas.openxmlformats.org/spreadsheetml/2006/main" count="1169" uniqueCount="1040">
  <si>
    <t>Объемы  медицинской помощи в условиях круглосуточного стационара на 2023 год в разрезе  клинико-статистических групп заболеваний</t>
  </si>
  <si>
    <t>Код  профиля</t>
  </si>
  <si>
    <t>№</t>
  </si>
  <si>
    <t>Код КСГ 2023</t>
  </si>
  <si>
    <t>КПГ / КСГ</t>
  </si>
  <si>
    <t>базовая ставка на 2023   25969</t>
  </si>
  <si>
    <t>КЗ (коэффициент относительной затратоемкости)c 01.01.2023</t>
  </si>
  <si>
    <t>коэффициент специфики с 01.01.23</t>
  </si>
  <si>
    <t>коэффициент специфики с 01.12.23</t>
  </si>
  <si>
    <t>Дзп 
(доля заработной платы) с 01.01.23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</si>
  <si>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</si>
  <si>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</si>
  <si>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</si>
  <si>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</si>
  <si>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</si>
  <si>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 
(подразделение г.Хабаровск)</t>
  </si>
  <si>
    <t>КГБУЗ "Краевой клинический центр онкологии" МЗ ХК 
(подразделение г.Комсомольск-на-Амуре)</t>
  </si>
  <si>
    <t>КГБУЗ "Краевой клинический центр онкологии" МЗ ХК (сводная)</t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</si>
  <si>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</si>
  <si>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</si>
  <si>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t>ЧУЗ "Клиническая больница "РЖД-Медицина" г. Хабаровск</t>
  </si>
  <si>
    <t>Хабаровский филиал ФГБУ "НМИЦО ФМБА России" (НКЦО)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</si>
  <si>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</si>
  <si>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им. Д.Н. Матвеева МЗ ХК</t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</si>
  <si>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</si>
  <si>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</si>
  <si>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</si>
  <si>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t>КГБУЗ "Онкологический диспансер" МЗ ХК (под факт 11 мес.)</t>
  </si>
  <si>
    <t>ЧУЗ "Клиническая больница "РЖД-Медицина" г. Комсомольск</t>
  </si>
  <si>
    <t>Хабаровский филиал ДНЦ ФПД-НИИОМиД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</si>
  <si>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</si>
  <si>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</si>
  <si>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 (под факт 9 м-в)</t>
  </si>
  <si>
    <t>КГБУЗ "Родильный дом N 2" МЗ ХК (под факт 9 м-в)</t>
  </si>
  <si>
    <t>КГБУЗ "Родильный дом" им. Венцовых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</si>
  <si>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</si>
  <si>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</si>
  <si>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</si>
  <si>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</si>
  <si>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</si>
  <si>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</si>
  <si>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</si>
  <si>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</si>
  <si>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</si>
  <si>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</si>
  <si>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</si>
  <si>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</si>
  <si>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</si>
  <si>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</si>
  <si>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</si>
  <si>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</si>
  <si>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</si>
  <si>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</si>
  <si>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 (под факт 9 м-в)</t>
  </si>
  <si>
    <t>КГБУЗ "Верхнебуреинская центральная районная больница" МЗ ХК</t>
  </si>
  <si>
    <t>КГБУЗ "Городская больница N 3" МЗ ХК (под факт 9 м-в)</t>
  </si>
  <si>
    <t>КГБУЗ "Городская больница" имени А.В. Шульмана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</si>
  <si>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</si>
  <si>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</si>
  <si>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</si>
  <si>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</si>
  <si>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</si>
  <si>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</si>
  <si>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</si>
  <si>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 по Решению Комиссии №13</t>
  </si>
  <si>
    <t>ВСЕГО по Решению Комиссии №12</t>
  </si>
  <si>
    <t>отклонение</t>
  </si>
  <si>
    <t>с 01.01.2023</t>
  </si>
  <si>
    <t>0352001</t>
  </si>
  <si>
    <t>0310001</t>
  </si>
  <si>
    <t>0252001</t>
  </si>
  <si>
    <t>0252002</t>
  </si>
  <si>
    <t>0351001</t>
  </si>
  <si>
    <t>0351002</t>
  </si>
  <si>
    <t>353001</t>
  </si>
  <si>
    <t>4346001</t>
  </si>
  <si>
    <t>8156001</t>
  </si>
  <si>
    <t>352005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</si>
  <si>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</si>
  <si>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</si>
  <si>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</si>
  <si>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</si>
  <si>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</si>
  <si>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</si>
  <si>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</si>
  <si>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</si>
  <si>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</si>
  <si>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</si>
  <si>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</si>
  <si>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</si>
  <si>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</si>
  <si>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</si>
  <si>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</si>
  <si>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</si>
  <si>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</si>
  <si>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</si>
  <si>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</si>
  <si>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</si>
  <si>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</si>
  <si>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</si>
  <si>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</si>
  <si>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</si>
  <si>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</si>
  <si>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</si>
  <si>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</si>
  <si>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</si>
  <si>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</si>
  <si>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</si>
  <si>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</si>
  <si>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</si>
  <si>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</si>
  <si>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</si>
  <si>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</si>
  <si>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</si>
  <si>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</si>
  <si>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</si>
  <si>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</si>
  <si>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2138242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</si>
  <si>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</si>
  <si>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</si>
  <si>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</si>
  <si>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</si>
  <si>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</si>
  <si>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</si>
  <si>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1.2.</t>
  </si>
  <si>
    <t>подуровень 1.1.</t>
  </si>
  <si>
    <t>подуровень 2.1.</t>
  </si>
  <si>
    <t>подуровень 2.2.</t>
  </si>
  <si>
    <t>подуровень 1.5.</t>
  </si>
  <si>
    <t>кол-во законченных случаев</t>
  </si>
  <si>
    <t>стоимость</t>
  </si>
  <si>
    <t>количество больных</t>
  </si>
  <si>
    <t>КУСмо c 01.01.2023</t>
  </si>
  <si>
    <t>КУСмо c 01.11.2023</t>
  </si>
  <si>
    <t>КУСмо c 01.12.2023</t>
  </si>
  <si>
    <t>КДзп c 01.12.2023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</si>
  <si>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</si>
  <si>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</si>
  <si>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</si>
  <si>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</si>
  <si>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</si>
  <si>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</si>
  <si>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</si>
  <si>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</si>
  <si>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</si>
  <si>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</si>
  <si>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</si>
  <si>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</si>
  <si>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</si>
  <si>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</si>
  <si>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</si>
  <si>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</si>
  <si>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</si>
  <si>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</si>
  <si>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</si>
  <si>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</si>
  <si>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</si>
  <si>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</si>
  <si>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</si>
  <si>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</si>
  <si>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</si>
  <si>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</si>
  <si>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</si>
  <si>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</si>
  <si>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</si>
  <si>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</si>
  <si>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</si>
  <si>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</si>
  <si>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</si>
  <si>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</si>
  <si>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</si>
  <si>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</si>
  <si>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</si>
  <si>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</si>
  <si>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</si>
  <si>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</si>
  <si>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</si>
  <si>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</si>
  <si>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</si>
  <si>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</si>
  <si>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</si>
  <si>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</si>
  <si>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</si>
  <si>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</si>
  <si>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</si>
  <si>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</si>
  <si>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</si>
  <si>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</si>
  <si>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</si>
  <si>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</si>
  <si>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</si>
  <si>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</si>
  <si>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</si>
  <si>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</si>
  <si>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</si>
  <si>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</si>
  <si>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</si>
  <si>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</si>
  <si>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</si>
  <si>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</si>
  <si>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</si>
  <si>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</si>
  <si>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</si>
  <si>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</si>
  <si>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</si>
  <si>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</si>
  <si>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</si>
  <si>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</si>
  <si>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</si>
  <si>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</si>
  <si>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</si>
  <si>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</si>
  <si>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</si>
  <si>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</si>
  <si>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</si>
  <si>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</si>
  <si>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</si>
  <si>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</si>
  <si>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</si>
  <si>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</si>
  <si>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</si>
  <si>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</si>
  <si>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</si>
  <si>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</si>
  <si>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</si>
  <si>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</si>
  <si>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</si>
  <si>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</si>
  <si>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</si>
  <si>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</si>
  <si>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</si>
  <si>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</si>
  <si>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</si>
  <si>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</si>
  <si>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</si>
  <si>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</si>
  <si>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</si>
  <si>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</si>
  <si>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</si>
  <si>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</si>
  <si>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</si>
  <si>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</si>
  <si>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</si>
  <si>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</si>
  <si>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</si>
  <si>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</si>
  <si>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</si>
  <si>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</si>
  <si>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</si>
  <si>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</si>
  <si>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</si>
  <si>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</si>
  <si>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</si>
  <si>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</si>
  <si>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</si>
  <si>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</si>
  <si>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</si>
  <si>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</si>
  <si>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</si>
  <si>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</si>
  <si>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</si>
  <si>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</si>
  <si>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</si>
  <si>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</si>
  <si>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</si>
  <si>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</si>
  <si>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</si>
  <si>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</si>
  <si>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</si>
  <si>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</si>
  <si>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</si>
  <si>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</si>
  <si>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</si>
  <si>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</si>
  <si>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</si>
  <si>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</si>
  <si>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</si>
  <si>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</si>
  <si>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</si>
  <si>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</si>
  <si>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</si>
  <si>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</si>
  <si>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</si>
  <si>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</si>
  <si>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</si>
  <si>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</si>
  <si>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</si>
  <si>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</si>
  <si>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</si>
  <si>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</si>
  <si>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</si>
  <si>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</si>
  <si>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</si>
  <si>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</si>
  <si>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</si>
  <si>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</si>
  <si>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</si>
  <si>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</si>
  <si>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</si>
  <si>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</si>
  <si>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</si>
  <si>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</si>
  <si>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</si>
  <si>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</si>
  <si>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</si>
  <si>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</si>
  <si>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</si>
  <si>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</si>
  <si>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</si>
  <si>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</si>
  <si>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</si>
  <si>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</si>
  <si>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</si>
  <si>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</si>
  <si>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</si>
  <si>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</si>
  <si>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</si>
  <si>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</si>
  <si>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</si>
  <si>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</si>
  <si>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</si>
  <si>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</si>
  <si>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</si>
  <si>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</si>
  <si>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</si>
  <si>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</si>
  <si>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</si>
  <si>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</si>
  <si>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</si>
  <si>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</si>
  <si>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</si>
  <si>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</si>
  <si>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</si>
  <si>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</si>
  <si>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</si>
  <si>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</si>
  <si>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</si>
  <si>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</si>
  <si>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</si>
  <si>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</si>
  <si>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</si>
  <si>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</si>
  <si>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</si>
  <si>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</si>
  <si>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</si>
  <si>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</si>
  <si>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</si>
  <si>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</si>
  <si>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</si>
  <si>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</si>
  <si>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</si>
  <si>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</si>
  <si>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</si>
  <si>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</si>
  <si>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</si>
  <si>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</si>
  <si>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</si>
  <si>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</si>
  <si>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</si>
  <si>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</si>
  <si>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</si>
  <si>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</si>
  <si>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</si>
  <si>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</si>
  <si>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</si>
  <si>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</si>
  <si>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</si>
  <si>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</si>
  <si>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</si>
  <si>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</si>
  <si>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</si>
  <si>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</si>
  <si>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</si>
  <si>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</si>
  <si>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</si>
  <si>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</si>
  <si>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</si>
  <si>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</si>
  <si>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</si>
  <si>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</si>
  <si>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</si>
  <si>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</si>
  <si>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</si>
  <si>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</si>
  <si>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</si>
  <si>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</si>
  <si>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</si>
  <si>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</si>
  <si>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</si>
  <si>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</si>
  <si>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</si>
  <si>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</si>
  <si>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</si>
  <si>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</si>
  <si>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</si>
  <si>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</si>
  <si>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</si>
  <si>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</si>
  <si>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</si>
  <si>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</si>
  <si>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</si>
  <si>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</si>
  <si>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</si>
  <si>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</si>
  <si>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</si>
  <si>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</si>
  <si>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</si>
  <si>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</si>
  <si>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</si>
  <si>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</si>
  <si>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</si>
  <si>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</si>
  <si>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</si>
  <si>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</si>
  <si>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</si>
  <si>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</si>
  <si>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</si>
  <si>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</si>
  <si>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</si>
  <si>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</si>
  <si>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</si>
  <si>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</si>
  <si>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</si>
  <si>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</si>
  <si>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</si>
  <si>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</si>
  <si>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</si>
  <si>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</si>
  <si>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</si>
  <si>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</si>
  <si>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</si>
  <si>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</si>
  <si>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</si>
  <si>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</si>
  <si>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</si>
  <si>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</si>
  <si>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</si>
  <si>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</si>
  <si>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</si>
  <si>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</si>
  <si>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</si>
  <si>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</si>
  <si>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</si>
  <si>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</si>
  <si>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</si>
  <si>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</si>
  <si>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</si>
  <si>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</si>
  <si>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</si>
  <si>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</si>
  <si>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</si>
  <si>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</si>
  <si>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</si>
  <si>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</si>
  <si>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</si>
  <si>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</si>
  <si>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</si>
  <si>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</si>
  <si>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</si>
  <si>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</si>
  <si>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</si>
  <si>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</si>
  <si>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</si>
  <si>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</si>
  <si>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</si>
  <si>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</si>
  <si>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</si>
  <si>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</si>
  <si>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</si>
  <si>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</si>
  <si>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</si>
  <si>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</si>
  <si>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</si>
  <si>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</si>
  <si>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</si>
  <si>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</si>
  <si>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</si>
  <si>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</si>
  <si>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</si>
  <si>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</si>
  <si>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</si>
  <si>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</si>
  <si>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</si>
  <si>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</si>
  <si>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</si>
  <si>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</si>
  <si>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</si>
  <si>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</si>
  <si>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</si>
  <si>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</si>
  <si>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</si>
  <si>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</si>
  <si>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</si>
  <si>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</si>
  <si>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</si>
  <si>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</si>
  <si>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</si>
  <si>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</si>
  <si>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</si>
  <si>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</si>
  <si>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</si>
  <si>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</si>
  <si>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</si>
  <si>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</si>
  <si>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</si>
  <si>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</si>
  <si>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</si>
  <si>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</si>
  <si>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</si>
  <si>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</si>
  <si>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</si>
  <si>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</si>
  <si>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</si>
  <si>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</si>
  <si>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</si>
  <si>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</si>
  <si>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</si>
  <si>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</si>
  <si>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</si>
  <si>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</si>
  <si>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</si>
  <si>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</si>
  <si>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</si>
  <si>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</si>
  <si>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</si>
  <si>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</si>
  <si>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</si>
  <si>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</si>
  <si>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</si>
  <si>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</si>
  <si>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</si>
  <si>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</si>
  <si>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</si>
  <si>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</si>
  <si>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</si>
  <si>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</si>
  <si>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</si>
  <si>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st19.126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</si>
  <si>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</si>
  <si>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st19.127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</si>
  <si>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</si>
  <si>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st19.128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</si>
  <si>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</si>
  <si>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st19.129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</si>
  <si>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</si>
  <si>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st19.130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</si>
  <si>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</si>
  <si>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st19.131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</si>
  <si>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</si>
  <si>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st19.132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</si>
  <si>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</si>
  <si>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st19.133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</si>
  <si>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</si>
  <si>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st19.134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</si>
  <si>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</si>
  <si>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st19.135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</si>
  <si>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</si>
  <si>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st19.136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</si>
  <si>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</si>
  <si>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st19.137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</si>
  <si>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</si>
  <si>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st19.138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</si>
  <si>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</si>
  <si>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st19.139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</si>
  <si>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</si>
  <si>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st19.140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</si>
  <si>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</si>
  <si>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st19.141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</si>
  <si>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</si>
  <si>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st19.142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</si>
  <si>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</si>
  <si>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st19.143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</si>
  <si>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</si>
  <si>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</si>
  <si>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</si>
  <si>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</si>
  <si>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</si>
  <si>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</si>
  <si>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</si>
  <si>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</si>
  <si>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</si>
  <si>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</si>
  <si>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</si>
  <si>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</si>
  <si>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</si>
  <si>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</si>
  <si>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</si>
  <si>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</si>
  <si>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</si>
  <si>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</si>
  <si>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</si>
  <si>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</si>
  <si>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</si>
  <si>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</si>
  <si>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</si>
  <si>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</si>
  <si>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</si>
  <si>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</si>
  <si>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</si>
  <si>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</si>
  <si>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</si>
  <si>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</si>
  <si>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</si>
  <si>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</si>
  <si>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</si>
  <si>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</si>
  <si>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</si>
  <si>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</si>
  <si>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</si>
  <si>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</si>
  <si>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</si>
  <si>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</si>
  <si>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</si>
  <si>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</si>
  <si>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</si>
  <si>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</si>
  <si>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</si>
  <si>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</si>
  <si>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</si>
  <si>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</si>
  <si>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</si>
  <si>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</si>
  <si>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</si>
  <si>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</si>
  <si>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</si>
  <si>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</si>
  <si>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</si>
  <si>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</si>
  <si>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</si>
  <si>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</si>
  <si>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</si>
  <si>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</si>
  <si>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</si>
  <si>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</si>
  <si>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</si>
  <si>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</si>
  <si>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</si>
  <si>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</si>
  <si>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</si>
  <si>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</si>
  <si>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</si>
  <si>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</si>
  <si>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</si>
  <si>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</si>
  <si>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</si>
  <si>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</si>
  <si>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</si>
  <si>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</si>
  <si>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</si>
  <si>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</si>
  <si>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</si>
  <si>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</si>
  <si>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</si>
  <si>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</si>
  <si>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</si>
  <si>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</si>
  <si>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</si>
  <si>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</si>
  <si>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</si>
  <si>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</si>
  <si>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</si>
  <si>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</si>
  <si>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</si>
  <si>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</si>
  <si>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</si>
  <si>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</si>
  <si>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</si>
  <si>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</si>
  <si>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</si>
  <si>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</si>
  <si>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</si>
  <si>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</si>
  <si>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</si>
  <si>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</si>
  <si>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</si>
  <si>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</si>
  <si>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</si>
  <si>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</si>
  <si>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</si>
  <si>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</si>
  <si>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</si>
  <si>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</si>
  <si>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</si>
  <si>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</si>
  <si>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</si>
  <si>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</si>
  <si>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</si>
  <si>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</si>
  <si>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</si>
  <si>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</si>
  <si>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</si>
  <si>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</si>
  <si>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</si>
  <si>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</si>
  <si>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</si>
  <si>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</si>
  <si>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</si>
  <si>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</si>
  <si>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</si>
  <si>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</si>
  <si>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</si>
  <si>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</si>
  <si>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</si>
  <si>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</si>
  <si>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</si>
  <si>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</si>
  <si>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</si>
  <si>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</si>
  <si>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</si>
  <si>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</si>
  <si>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</si>
  <si>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</si>
  <si>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</si>
  <si>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</si>
  <si>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</si>
  <si>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</si>
  <si>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</si>
  <si>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</si>
  <si>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</si>
  <si>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</si>
  <si>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</si>
  <si>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</si>
  <si>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</si>
  <si>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</si>
  <si>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</si>
  <si>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</si>
  <si>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</si>
  <si>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</si>
  <si>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</si>
  <si>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</si>
  <si>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</si>
  <si>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</si>
  <si>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</si>
  <si>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</si>
  <si>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</si>
  <si>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</si>
  <si>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</si>
  <si>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</si>
  <si>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</si>
  <si>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</si>
  <si>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</si>
  <si>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</si>
  <si>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</si>
  <si>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</si>
  <si>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</si>
  <si>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</si>
  <si>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</si>
  <si>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</si>
  <si>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</si>
  <si>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</si>
  <si>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</si>
  <si>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</si>
  <si>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</si>
  <si>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</si>
  <si>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</si>
  <si>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</si>
  <si>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</si>
  <si>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</si>
  <si>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</si>
  <si>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</si>
  <si>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</si>
  <si>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</si>
  <si>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</si>
  <si>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</si>
  <si>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</si>
  <si>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</si>
  <si>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</si>
  <si>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</si>
  <si>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</si>
  <si>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</si>
  <si>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</si>
  <si>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</si>
  <si>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</si>
  <si>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</si>
  <si>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</si>
  <si>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</si>
  <si>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</si>
  <si>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</si>
  <si>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</si>
  <si>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</si>
  <si>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</si>
  <si>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</si>
  <si>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</si>
  <si>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</si>
  <si>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</si>
  <si>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</si>
  <si>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</si>
  <si>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</si>
  <si>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</si>
  <si>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</si>
  <si>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</si>
  <si>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</si>
  <si>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</si>
  <si>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</si>
  <si>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</si>
  <si>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</si>
  <si>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</si>
  <si>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</si>
  <si>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</si>
  <si>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</si>
  <si>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</si>
  <si>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</si>
  <si>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</si>
  <si>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</si>
  <si>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</si>
  <si>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</si>
  <si>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</si>
  <si>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</si>
  <si>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</si>
  <si>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</si>
  <si>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</si>
  <si>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</si>
  <si>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</si>
  <si>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</si>
  <si>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</si>
  <si>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</si>
  <si>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</si>
  <si>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</si>
  <si>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</si>
  <si>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</si>
  <si>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</si>
  <si>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</si>
  <si>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</si>
  <si>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</si>
  <si>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</si>
  <si>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</si>
  <si>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</si>
  <si>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</si>
  <si>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</si>
  <si>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</si>
  <si>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</si>
  <si>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</si>
  <si>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</si>
  <si>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</si>
  <si>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</si>
  <si>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</si>
  <si>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</si>
  <si>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</si>
  <si>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</si>
  <si>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</si>
  <si>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</si>
  <si>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</si>
  <si>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</si>
  <si>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</si>
  <si>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</si>
  <si>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</si>
  <si>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</si>
  <si>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</si>
  <si>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</si>
  <si>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</si>
  <si>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</si>
  <si>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</si>
  <si>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</si>
  <si>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</si>
  <si>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</si>
  <si>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</si>
  <si>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</si>
  <si>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</si>
  <si>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</si>
  <si>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</si>
  <si>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</si>
  <si>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</si>
  <si>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</si>
  <si>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</si>
  <si>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</si>
  <si>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</si>
  <si>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</si>
  <si>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</si>
  <si>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</si>
  <si>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</si>
  <si>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</si>
  <si>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</si>
  <si>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</si>
  <si>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</si>
  <si>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</si>
  <si>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</si>
  <si>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</si>
  <si>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</si>
  <si>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</si>
  <si>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</si>
  <si>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</si>
  <si>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</si>
  <si>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</si>
  <si>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</si>
  <si>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</si>
  <si>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</si>
  <si>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</si>
  <si>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</si>
  <si>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</si>
  <si>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</si>
  <si>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</si>
  <si>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</si>
  <si>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</si>
  <si>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</si>
  <si>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</si>
  <si>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</si>
  <si>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</si>
  <si>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</si>
  <si>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</si>
  <si>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</si>
  <si>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</si>
  <si>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</si>
  <si>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</si>
  <si>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</si>
  <si>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</si>
  <si>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</si>
  <si>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</si>
  <si>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</si>
  <si>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</si>
  <si>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</si>
  <si>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</si>
  <si>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</si>
  <si>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</si>
  <si>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</si>
  <si>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</si>
  <si>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</si>
  <si>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</si>
  <si>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</si>
  <si>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</si>
  <si>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</si>
  <si>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</si>
  <si>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</si>
  <si>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</si>
  <si>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</si>
  <si>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</si>
  <si>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</si>
  <si>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</si>
  <si>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</si>
  <si>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</si>
  <si>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</si>
  <si>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</si>
  <si>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</si>
  <si>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</si>
  <si>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</si>
  <si>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</si>
  <si>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</si>
  <si>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</si>
  <si>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</si>
  <si>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</si>
  <si>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</si>
  <si>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</si>
  <si>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</si>
  <si>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</si>
  <si>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</si>
  <si>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</si>
  <si>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</si>
  <si>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</si>
  <si>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</si>
  <si>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</si>
  <si>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</si>
  <si>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</si>
  <si>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</si>
  <si>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</si>
  <si>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</si>
  <si>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</si>
  <si>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</si>
  <si>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</si>
  <si>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</si>
  <si>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</si>
  <si>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</si>
  <si>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</si>
  <si>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</si>
  <si>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</si>
  <si>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</si>
  <si>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</si>
  <si>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</si>
  <si>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</si>
  <si>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</si>
  <si>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</si>
  <si>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</si>
  <si>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</si>
  <si>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</si>
  <si>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</si>
  <si>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</si>
  <si>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</si>
  <si>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</si>
  <si>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</si>
  <si>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</si>
  <si>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</si>
  <si>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</si>
  <si>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</si>
  <si>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</si>
  <si>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</si>
  <si>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</si>
  <si>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</si>
  <si>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</si>
  <si>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</si>
  <si>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</si>
  <si>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</si>
  <si>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</si>
  <si>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</si>
  <si>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</si>
  <si>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</si>
  <si>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</si>
  <si>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</si>
  <si>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</si>
  <si>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</si>
  <si>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</si>
  <si>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</si>
  <si>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</si>
  <si>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</si>
  <si>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</si>
  <si>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</si>
  <si>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</si>
  <si>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</si>
  <si>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</si>
  <si>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</si>
  <si>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</si>
  <si>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</si>
  <si>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</si>
  <si>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</si>
  <si>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</si>
  <si>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</si>
  <si>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</si>
  <si>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</si>
  <si>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</si>
  <si>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</si>
  <si>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</si>
  <si>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</si>
  <si>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</si>
  <si>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</si>
  <si>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</si>
  <si>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</si>
  <si>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</si>
  <si>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</si>
  <si>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</si>
  <si>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</si>
  <si>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</si>
  <si>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</si>
  <si>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</si>
  <si>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</si>
  <si>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</si>
  <si>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</si>
  <si>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Гериатрия</t>
  </si>
  <si>
    <t>st38.001</t>
  </si>
  <si>
    <t>Соматические заболевания, осложненные старческой астенией</t>
  </si>
  <si>
    <t>29.12.2023 №13</t>
  </si>
  <si>
    <t xml:space="preserve">ИТОГО </t>
  </si>
  <si>
    <t xml:space="preserve">Приложение №4
</t>
  </si>
  <si>
    <t>к протоколу Комиссии   по разработке ТП ОМС от 29.12.2023 №13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</si>
</sst>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#,##0.00_ ;\-#,##0.00\ "/>
    <numFmt numFmtId="167" formatCode="_-* #,##0_р_._-;\-* #,##0_р_._-;_-* &quot;-&quot;_р_._-;_-@_-"/>
    <numFmt numFmtId="168" formatCode="_-* #,##0_р_._-;\-* #,##0_р_._-;_-* &quot;-&quot;??_р_._-;_-@_-"/>
    <numFmt numFmtId="169" formatCode="#,##0_ ;\-#,##0\ "/>
    <numFmt numFmtId="170" formatCode="_-* #,##0.000_р_._-;\-* #,##0.000_р_._-;_-* &quot;-&quot;_р_._-;_-@_-"/>
    <numFmt numFmtId="171" formatCode="_-* #,##0.00000_р_._-;\-* #,##0.00000_р_._-;_-* &quot;-&quot;_р_._-;_-@_-"/>
    <numFmt numFmtId="172" formatCode="#,##0.000"/>
    <numFmt numFmtId="173" formatCode="0.000"/>
    <numFmt numFmtId="174" formatCode="0.00000"/>
    <numFmt numFmtId="175" formatCode="0.0"/>
    <numFmt numFmtId="176" formatCode="0.0%"/>
  </numFmts>
  <fonts count="5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b/>
      <i/>
      <sz val="9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0070C0"/>
      <name val="Times New Roman"/>
      <family val="1"/>
      <charset val="204"/>
    </font>
    <font>
      <sz val="12"/>
      <color rgb="FFC00000"/>
      <name val="Times New Roman"/>
      <family val="2"/>
      <charset val="204"/>
    </font>
    <font>
      <sz val="11"/>
      <color rgb="FFC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9999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9999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2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0" fontId="8" fillId="0" borderId="0"/>
    <xf numFmtId="0" fontId="8" fillId="0" borderId="0"/>
    <xf numFmtId="0" fontId="30" fillId="0" borderId="0"/>
    <xf numFmtId="0" fontId="47" fillId="0" borderId="0"/>
    <xf numFmtId="0" fontId="8" fillId="0" borderId="0"/>
    <xf numFmtId="0" fontId="48" fillId="0" borderId="0"/>
    <xf numFmtId="0" fontId="8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8" fillId="0" borderId="0"/>
    <xf numFmtId="0" fontId="48" fillId="0" borderId="0"/>
    <xf numFmtId="0" fontId="50" fillId="0" borderId="0"/>
    <xf numFmtId="0" fontId="48" fillId="0" borderId="0"/>
    <xf numFmtId="0" fontId="9" fillId="0" borderId="0" applyFill="0" applyBorder="0" applyProtection="0">
      <alignment wrapText="1"/>
      <protection locked="0"/>
    </xf>
    <xf numFmtId="9" fontId="30" fillId="0" borderId="0" applyFont="0" applyFill="0" applyBorder="0" applyAlignment="0" applyProtection="0"/>
    <xf numFmtId="9" fontId="48" fillId="0" borderId="0" quotePrefix="1" applyFont="0" applyFill="0" applyBorder="0" applyAlignment="0">
      <protection locked="0"/>
    </xf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49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8" fillId="0" borderId="0" quotePrefix="1" applyFont="0" applyFill="0" applyBorder="0" applyAlignment="0">
      <protection locked="0"/>
    </xf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</cellStyleXfs>
  <cellXfs count="328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6" fillId="0" borderId="0" xfId="2" applyFont="1" applyFill="1" applyBorder="1" applyAlignment="1">
      <alignment horizontal="center" vertical="top" wrapText="1"/>
    </xf>
    <xf numFmtId="0" fontId="4" fillId="0" borderId="0" xfId="0" applyFont="1" applyFill="1"/>
    <xf numFmtId="1" fontId="4" fillId="0" borderId="0" xfId="0" applyNumberFormat="1" applyFont="1" applyFill="1" applyAlignment="1">
      <alignment horizontal="center"/>
    </xf>
    <xf numFmtId="0" fontId="6" fillId="0" borderId="0" xfId="2" applyFont="1" applyFill="1" applyBorder="1" applyAlignment="1">
      <alignment horizontal="center" wrapText="1"/>
    </xf>
    <xf numFmtId="4" fontId="4" fillId="0" borderId="0" xfId="0" applyNumberFormat="1" applyFont="1" applyFill="1" applyAlignment="1">
      <alignment horizontal="center"/>
    </xf>
    <xf numFmtId="166" fontId="4" fillId="0" borderId="0" xfId="1" applyNumberFormat="1" applyFont="1" applyFill="1" applyAlignment="1">
      <alignment horizontal="center"/>
    </xf>
    <xf numFmtId="0" fontId="7" fillId="0" borderId="0" xfId="0" applyFont="1" applyFill="1" applyBorder="1"/>
    <xf numFmtId="0" fontId="9" fillId="0" borderId="0" xfId="3" applyFont="1" applyFill="1" applyBorder="1" applyAlignment="1">
      <alignment vertical="center"/>
    </xf>
    <xf numFmtId="167" fontId="4" fillId="0" borderId="0" xfId="0" applyNumberFormat="1" applyFont="1" applyFill="1" applyAlignment="1">
      <alignment horizontal="center"/>
    </xf>
    <xf numFmtId="168" fontId="3" fillId="0" borderId="0" xfId="0" applyNumberFormat="1" applyFont="1" applyFill="1"/>
    <xf numFmtId="167" fontId="4" fillId="0" borderId="0" xfId="0" applyNumberFormat="1" applyFont="1" applyFill="1"/>
    <xf numFmtId="3" fontId="4" fillId="0" borderId="0" xfId="0" applyNumberFormat="1" applyFont="1" applyFill="1" applyAlignment="1">
      <alignment horizontal="center"/>
    </xf>
    <xf numFmtId="168" fontId="9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167" fontId="10" fillId="0" borderId="0" xfId="4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3" fontId="11" fillId="0" borderId="0" xfId="0" applyNumberFormat="1" applyFont="1" applyFill="1" applyBorder="1" applyAlignment="1"/>
    <xf numFmtId="3" fontId="12" fillId="0" borderId="0" xfId="1" applyNumberFormat="1" applyFont="1" applyFill="1" applyBorder="1" applyAlignment="1"/>
    <xf numFmtId="169" fontId="4" fillId="0" borderId="0" xfId="1" applyNumberFormat="1" applyFont="1" applyFill="1" applyBorder="1" applyAlignment="1"/>
    <xf numFmtId="3" fontId="9" fillId="0" borderId="0" xfId="4" applyNumberFormat="1" applyFont="1" applyFill="1" applyBorder="1" applyAlignment="1">
      <alignment horizontal="center" vertical="center" wrapText="1"/>
    </xf>
    <xf numFmtId="169" fontId="9" fillId="0" borderId="0" xfId="4" applyNumberFormat="1" applyFont="1" applyFill="1" applyBorder="1" applyAlignment="1">
      <alignment horizontal="center" wrapText="1"/>
    </xf>
    <xf numFmtId="167" fontId="9" fillId="0" borderId="0" xfId="4" applyNumberFormat="1" applyFont="1" applyFill="1" applyBorder="1" applyAlignment="1">
      <alignment horizontal="center" vertical="center" wrapText="1"/>
    </xf>
    <xf numFmtId="0" fontId="13" fillId="0" borderId="0" xfId="4" applyFont="1" applyFill="1" applyBorder="1" applyAlignment="1">
      <alignment horizontal="center" vertical="center" wrapText="1"/>
    </xf>
    <xf numFmtId="41" fontId="13" fillId="0" borderId="0" xfId="4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/>
    <xf numFmtId="170" fontId="9" fillId="0" borderId="0" xfId="4" applyNumberFormat="1" applyFont="1" applyFill="1" applyBorder="1" applyAlignment="1">
      <alignment horizontal="center" wrapText="1"/>
    </xf>
    <xf numFmtId="3" fontId="13" fillId="0" borderId="0" xfId="4" applyNumberFormat="1" applyFont="1" applyFill="1" applyBorder="1" applyAlignment="1">
      <alignment horizontal="center" vertical="center" wrapText="1"/>
    </xf>
    <xf numFmtId="167" fontId="9" fillId="0" borderId="0" xfId="4" applyNumberFormat="1" applyFont="1" applyFill="1" applyBorder="1" applyAlignment="1">
      <alignment horizontal="center" wrapText="1"/>
    </xf>
    <xf numFmtId="171" fontId="9" fillId="0" borderId="0" xfId="4" applyNumberFormat="1" applyFont="1" applyFill="1" applyBorder="1" applyAlignment="1">
      <alignment horizontal="center" wrapText="1"/>
    </xf>
    <xf numFmtId="167" fontId="13" fillId="0" borderId="0" xfId="4" applyNumberFormat="1" applyFont="1" applyFill="1" applyBorder="1" applyAlignment="1">
      <alignment horizontal="center" vertical="center" wrapText="1"/>
    </xf>
    <xf numFmtId="4" fontId="13" fillId="0" borderId="0" xfId="4" applyNumberFormat="1" applyFont="1" applyFill="1" applyBorder="1" applyAlignment="1">
      <alignment horizontal="center" vertical="center" wrapText="1"/>
    </xf>
    <xf numFmtId="169" fontId="13" fillId="0" borderId="0" xfId="1" applyNumberFormat="1" applyFont="1" applyFill="1" applyBorder="1" applyAlignment="1">
      <alignment horizontal="center" vertical="center" wrapText="1"/>
    </xf>
    <xf numFmtId="3" fontId="9" fillId="0" borderId="0" xfId="4" applyNumberFormat="1" applyFont="1" applyFill="1" applyBorder="1" applyAlignment="1">
      <alignment horizontal="center" wrapText="1"/>
    </xf>
    <xf numFmtId="168" fontId="4" fillId="0" borderId="0" xfId="1" applyNumberFormat="1" applyFont="1" applyFill="1" applyBorder="1" applyAlignment="1"/>
    <xf numFmtId="168" fontId="13" fillId="0" borderId="0" xfId="1" applyNumberFormat="1" applyFont="1" applyFill="1" applyBorder="1" applyAlignment="1">
      <alignment horizontal="center" vertical="center" wrapText="1"/>
    </xf>
    <xf numFmtId="41" fontId="4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4" fontId="9" fillId="0" borderId="0" xfId="4" applyNumberFormat="1" applyFont="1" applyFill="1" applyBorder="1" applyAlignment="1">
      <alignment horizontal="center" wrapText="1"/>
    </xf>
    <xf numFmtId="172" fontId="4" fillId="0" borderId="0" xfId="0" applyNumberFormat="1" applyFont="1" applyFill="1" applyBorder="1" applyAlignment="1"/>
    <xf numFmtId="168" fontId="9" fillId="0" borderId="0" xfId="1" applyNumberFormat="1" applyFont="1" applyFill="1" applyBorder="1" applyAlignment="1">
      <alignment horizontal="center" wrapText="1"/>
    </xf>
    <xf numFmtId="0" fontId="14" fillId="0" borderId="0" xfId="4" applyFont="1" applyFill="1" applyBorder="1" applyAlignment="1">
      <alignment vertical="center" wrapText="1"/>
    </xf>
    <xf numFmtId="168" fontId="9" fillId="0" borderId="0" xfId="1" applyNumberFormat="1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center"/>
    </xf>
    <xf numFmtId="0" fontId="15" fillId="0" borderId="0" xfId="0" applyFont="1" applyFill="1"/>
    <xf numFmtId="0" fontId="16" fillId="0" borderId="0" xfId="3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/>
    </xf>
    <xf numFmtId="0" fontId="10" fillId="0" borderId="0" xfId="3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 vertical="center" textRotation="90"/>
    </xf>
    <xf numFmtId="0" fontId="8" fillId="0" borderId="3" xfId="3" applyFont="1" applyFill="1" applyBorder="1" applyAlignment="1">
      <alignment horizontal="center" vertical="center" wrapText="1"/>
    </xf>
    <xf numFmtId="0" fontId="18" fillId="0" borderId="4" xfId="4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2" borderId="4" xfId="3" applyNumberFormat="1" applyFont="1" applyFill="1" applyBorder="1" applyAlignment="1">
      <alignment horizontal="center" vertical="center" wrapText="1"/>
    </xf>
    <xf numFmtId="164" fontId="10" fillId="0" borderId="4" xfId="4" applyNumberFormat="1" applyFont="1" applyFill="1" applyBorder="1" applyAlignment="1">
      <alignment horizontal="center" vertical="center" wrapText="1"/>
    </xf>
    <xf numFmtId="164" fontId="19" fillId="0" borderId="5" xfId="3" applyNumberFormat="1" applyFont="1" applyFill="1" applyBorder="1" applyAlignment="1">
      <alignment horizontal="center" vertical="center" wrapText="1"/>
    </xf>
    <xf numFmtId="164" fontId="19" fillId="0" borderId="6" xfId="3" applyNumberFormat="1" applyFont="1" applyFill="1" applyBorder="1" applyAlignment="1">
      <alignment horizontal="center" vertical="center" wrapText="1"/>
    </xf>
    <xf numFmtId="164" fontId="19" fillId="0" borderId="3" xfId="3" applyNumberFormat="1" applyFont="1" applyFill="1" applyBorder="1" applyAlignment="1">
      <alignment horizontal="center" vertical="center" wrapText="1"/>
    </xf>
    <xf numFmtId="1" fontId="20" fillId="0" borderId="5" xfId="3" applyNumberFormat="1" applyFont="1" applyFill="1" applyBorder="1" applyAlignment="1">
      <alignment horizontal="center" vertical="center" wrapText="1"/>
    </xf>
    <xf numFmtId="1" fontId="20" fillId="0" borderId="6" xfId="3" applyNumberFormat="1" applyFont="1" applyFill="1" applyBorder="1" applyAlignment="1">
      <alignment horizontal="center" vertical="center" wrapText="1"/>
    </xf>
    <xf numFmtId="1" fontId="20" fillId="0" borderId="5" xfId="4" applyNumberFormat="1" applyFont="1" applyFill="1" applyBorder="1" applyAlignment="1">
      <alignment horizontal="center" vertical="center" wrapText="1"/>
    </xf>
    <xf numFmtId="1" fontId="20" fillId="0" borderId="6" xfId="4" applyNumberFormat="1" applyFont="1" applyFill="1" applyBorder="1" applyAlignment="1">
      <alignment horizontal="center" vertical="center" wrapText="1"/>
    </xf>
    <xf numFmtId="1" fontId="22" fillId="0" borderId="5" xfId="3" applyNumberFormat="1" applyFont="1" applyFill="1" applyBorder="1" applyAlignment="1">
      <alignment horizontal="center" vertical="center" wrapText="1"/>
    </xf>
    <xf numFmtId="1" fontId="22" fillId="0" borderId="6" xfId="3" applyNumberFormat="1" applyFont="1" applyFill="1" applyBorder="1" applyAlignment="1">
      <alignment horizontal="center" vertical="center" wrapText="1"/>
    </xf>
    <xf numFmtId="1" fontId="23" fillId="0" borderId="2" xfId="3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0" xfId="0" applyFont="1" applyFill="1"/>
    <xf numFmtId="0" fontId="18" fillId="0" borderId="7" xfId="4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164" fontId="10" fillId="2" borderId="7" xfId="3" applyNumberFormat="1" applyFont="1" applyFill="1" applyBorder="1" applyAlignment="1">
      <alignment horizontal="center" vertical="center" wrapText="1"/>
    </xf>
    <xf numFmtId="164" fontId="10" fillId="0" borderId="7" xfId="4" applyNumberFormat="1" applyFont="1" applyFill="1" applyBorder="1" applyAlignment="1">
      <alignment horizontal="center" vertical="center" wrapText="1"/>
    </xf>
    <xf numFmtId="0" fontId="19" fillId="0" borderId="5" xfId="3" applyNumberFormat="1" applyFont="1" applyFill="1" applyBorder="1" applyAlignment="1">
      <alignment horizontal="center" vertical="center" wrapText="1"/>
    </xf>
    <xf numFmtId="0" fontId="19" fillId="0" borderId="6" xfId="3" applyNumberFormat="1" applyFont="1" applyFill="1" applyBorder="1" applyAlignment="1">
      <alignment horizontal="center" vertical="center" wrapText="1"/>
    </xf>
    <xf numFmtId="0" fontId="20" fillId="0" borderId="5" xfId="3" applyNumberFormat="1" applyFont="1" applyFill="1" applyBorder="1" applyAlignment="1">
      <alignment horizontal="center" vertical="center" wrapText="1"/>
    </xf>
    <xf numFmtId="0" fontId="20" fillId="0" borderId="3" xfId="3" applyNumberFormat="1" applyFont="1" applyFill="1" applyBorder="1" applyAlignment="1">
      <alignment horizontal="center" vertical="center" wrapText="1"/>
    </xf>
    <xf numFmtId="0" fontId="20" fillId="0" borderId="2" xfId="3" applyNumberFormat="1" applyFont="1" applyFill="1" applyBorder="1" applyAlignment="1">
      <alignment horizontal="center" vertical="center" wrapText="1"/>
    </xf>
    <xf numFmtId="0" fontId="20" fillId="0" borderId="6" xfId="3" applyNumberFormat="1" applyFont="1" applyFill="1" applyBorder="1" applyAlignment="1">
      <alignment horizontal="center" vertical="center" wrapText="1"/>
    </xf>
    <xf numFmtId="0" fontId="20" fillId="0" borderId="5" xfId="4" applyNumberFormat="1" applyFont="1" applyFill="1" applyBorder="1" applyAlignment="1">
      <alignment horizontal="center" vertical="center" wrapText="1"/>
    </xf>
    <xf numFmtId="0" fontId="20" fillId="0" borderId="3" xfId="4" applyNumberFormat="1" applyFont="1" applyFill="1" applyBorder="1" applyAlignment="1">
      <alignment horizontal="center" vertical="center" wrapText="1"/>
    </xf>
    <xf numFmtId="0" fontId="22" fillId="0" borderId="5" xfId="3" applyNumberFormat="1" applyFont="1" applyFill="1" applyBorder="1" applyAlignment="1">
      <alignment horizontal="center" vertical="center" wrapText="1"/>
    </xf>
    <xf numFmtId="0" fontId="22" fillId="0" borderId="3" xfId="3" applyNumberFormat="1" applyFont="1" applyFill="1" applyBorder="1" applyAlignment="1">
      <alignment horizontal="center" vertical="center" wrapText="1"/>
    </xf>
    <xf numFmtId="0" fontId="23" fillId="0" borderId="2" xfId="3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/>
    <xf numFmtId="0" fontId="17" fillId="0" borderId="0" xfId="0" applyNumberFormat="1" applyFont="1" applyFill="1"/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49" fontId="20" fillId="0" borderId="5" xfId="4" applyNumberFormat="1" applyFont="1" applyFill="1" applyBorder="1" applyAlignment="1">
      <alignment horizontal="center" vertical="center" wrapText="1"/>
    </xf>
    <xf numFmtId="49" fontId="20" fillId="0" borderId="6" xfId="4" applyNumberFormat="1" applyFont="1" applyFill="1" applyBorder="1" applyAlignment="1">
      <alignment horizontal="center" vertical="center" wrapText="1"/>
    </xf>
    <xf numFmtId="49" fontId="20" fillId="0" borderId="2" xfId="4" applyNumberFormat="1" applyFont="1" applyFill="1" applyBorder="1" applyAlignment="1">
      <alignment horizontal="center" vertical="center" wrapText="1"/>
    </xf>
    <xf numFmtId="49" fontId="20" fillId="0" borderId="3" xfId="4" applyNumberFormat="1" applyFont="1" applyFill="1" applyBorder="1" applyAlignment="1">
      <alignment horizontal="center" vertical="center" wrapText="1"/>
    </xf>
    <xf numFmtId="49" fontId="22" fillId="0" borderId="5" xfId="4" applyNumberFormat="1" applyFont="1" applyFill="1" applyBorder="1" applyAlignment="1">
      <alignment horizontal="center" vertical="center" wrapText="1"/>
    </xf>
    <xf numFmtId="49" fontId="22" fillId="0" borderId="6" xfId="4" applyNumberFormat="1" applyFont="1" applyFill="1" applyBorder="1" applyAlignment="1">
      <alignment horizontal="center" vertical="center" wrapText="1"/>
    </xf>
    <xf numFmtId="49" fontId="20" fillId="0" borderId="5" xfId="3" applyNumberFormat="1" applyFont="1" applyFill="1" applyBorder="1" applyAlignment="1">
      <alignment horizontal="center" vertical="center" wrapText="1"/>
    </xf>
    <xf numFmtId="49" fontId="20" fillId="0" borderId="6" xfId="3" applyNumberFormat="1" applyFont="1" applyFill="1" applyBorder="1" applyAlignment="1">
      <alignment horizontal="center" vertical="center" wrapText="1"/>
    </xf>
    <xf numFmtId="49" fontId="20" fillId="0" borderId="3" xfId="3" applyNumberFormat="1" applyFont="1" applyFill="1" applyBorder="1" applyAlignment="1">
      <alignment horizontal="center" vertical="center" wrapText="1"/>
    </xf>
    <xf numFmtId="0" fontId="17" fillId="0" borderId="2" xfId="0" applyFont="1" applyFill="1" applyBorder="1"/>
    <xf numFmtId="164" fontId="24" fillId="0" borderId="4" xfId="3" applyNumberFormat="1" applyFont="1" applyFill="1" applyBorder="1" applyAlignment="1">
      <alignment horizontal="center" vertical="center" wrapText="1"/>
    </xf>
    <xf numFmtId="164" fontId="24" fillId="0" borderId="8" xfId="3" applyNumberFormat="1" applyFont="1" applyFill="1" applyBorder="1" applyAlignment="1">
      <alignment horizontal="center" vertical="center" wrapText="1"/>
    </xf>
    <xf numFmtId="1" fontId="20" fillId="3" borderId="2" xfId="4" applyNumberFormat="1" applyFont="1" applyFill="1" applyBorder="1" applyAlignment="1">
      <alignment horizontal="center" vertical="center" wrapText="1"/>
    </xf>
    <xf numFmtId="1" fontId="20" fillId="3" borderId="9" xfId="4" applyNumberFormat="1" applyFont="1" applyFill="1" applyBorder="1" applyAlignment="1">
      <alignment horizontal="center" vertical="center" wrapText="1"/>
    </xf>
    <xf numFmtId="1" fontId="20" fillId="3" borderId="10" xfId="4" applyNumberFormat="1" applyFont="1" applyFill="1" applyBorder="1" applyAlignment="1">
      <alignment horizontal="center" vertical="center" wrapText="1"/>
    </xf>
    <xf numFmtId="1" fontId="20" fillId="3" borderId="11" xfId="4" applyNumberFormat="1" applyFont="1" applyFill="1" applyBorder="1" applyAlignment="1">
      <alignment horizontal="center" vertical="center" wrapText="1"/>
    </xf>
    <xf numFmtId="1" fontId="20" fillId="3" borderId="5" xfId="4" applyNumberFormat="1" applyFont="1" applyFill="1" applyBorder="1" applyAlignment="1">
      <alignment horizontal="center" vertical="center" wrapText="1"/>
    </xf>
    <xf numFmtId="1" fontId="20" fillId="3" borderId="3" xfId="4" applyNumberFormat="1" applyFont="1" applyFill="1" applyBorder="1" applyAlignment="1">
      <alignment horizontal="center" vertical="center" wrapText="1"/>
    </xf>
    <xf numFmtId="1" fontId="20" fillId="3" borderId="11" xfId="4" applyNumberFormat="1" applyFont="1" applyFill="1" applyBorder="1" applyAlignment="1">
      <alignment vertical="center" wrapText="1"/>
    </xf>
    <xf numFmtId="1" fontId="20" fillId="3" borderId="9" xfId="4" applyNumberFormat="1" applyFont="1" applyFill="1" applyBorder="1" applyAlignment="1">
      <alignment vertical="center" wrapText="1"/>
    </xf>
    <xf numFmtId="1" fontId="20" fillId="3" borderId="12" xfId="4" applyNumberFormat="1" applyFont="1" applyFill="1" applyBorder="1" applyAlignment="1">
      <alignment vertical="center" wrapText="1"/>
    </xf>
    <xf numFmtId="1" fontId="22" fillId="3" borderId="11" xfId="4" applyNumberFormat="1" applyFont="1" applyFill="1" applyBorder="1" applyAlignment="1">
      <alignment vertical="center" wrapText="1"/>
    </xf>
    <xf numFmtId="1" fontId="20" fillId="3" borderId="12" xfId="4" applyNumberFormat="1" applyFont="1" applyFill="1" applyBorder="1" applyAlignment="1">
      <alignment horizontal="center" vertical="center" wrapText="1"/>
    </xf>
    <xf numFmtId="1" fontId="20" fillId="0" borderId="8" xfId="4" applyNumberFormat="1" applyFont="1" applyFill="1" applyBorder="1" applyAlignment="1">
      <alignment vertical="center" wrapText="1"/>
    </xf>
    <xf numFmtId="164" fontId="24" fillId="0" borderId="7" xfId="3" applyNumberFormat="1" applyFont="1" applyFill="1" applyBorder="1" applyAlignment="1">
      <alignment horizontal="center" vertical="center" wrapText="1"/>
    </xf>
    <xf numFmtId="164" fontId="24" fillId="0" borderId="1" xfId="3" applyNumberFormat="1" applyFont="1" applyFill="1" applyBorder="1" applyAlignment="1">
      <alignment horizontal="center" vertical="center" wrapText="1"/>
    </xf>
    <xf numFmtId="49" fontId="20" fillId="0" borderId="6" xfId="4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8" fillId="0" borderId="13" xfId="4" applyFont="1" applyFill="1" applyBorder="1" applyAlignment="1">
      <alignment horizontal="center" vertical="center" wrapText="1"/>
    </xf>
    <xf numFmtId="0" fontId="10" fillId="0" borderId="13" xfId="3" applyFont="1" applyFill="1" applyBorder="1" applyAlignment="1">
      <alignment horizontal="center" vertical="center" wrapText="1"/>
    </xf>
    <xf numFmtId="164" fontId="10" fillId="0" borderId="13" xfId="3" applyNumberFormat="1" applyFont="1" applyFill="1" applyBorder="1" applyAlignment="1">
      <alignment horizontal="center" vertical="center" wrapText="1"/>
    </xf>
    <xf numFmtId="164" fontId="10" fillId="2" borderId="13" xfId="3" applyNumberFormat="1" applyFont="1" applyFill="1" applyBorder="1" applyAlignment="1">
      <alignment horizontal="center" vertical="center" wrapText="1"/>
    </xf>
    <xf numFmtId="164" fontId="10" fillId="0" borderId="13" xfId="4" applyNumberFormat="1" applyFont="1" applyFill="1" applyBorder="1" applyAlignment="1">
      <alignment horizontal="center" vertical="center" wrapText="1"/>
    </xf>
    <xf numFmtId="164" fontId="24" fillId="0" borderId="13" xfId="3" applyNumberFormat="1" applyFont="1" applyFill="1" applyBorder="1" applyAlignment="1">
      <alignment horizontal="center" vertical="center" wrapText="1"/>
    </xf>
    <xf numFmtId="164" fontId="24" fillId="0" borderId="14" xfId="3" applyNumberFormat="1" applyFont="1" applyFill="1" applyBorder="1" applyAlignment="1">
      <alignment horizontal="center" vertical="center" wrapText="1"/>
    </xf>
    <xf numFmtId="1" fontId="25" fillId="0" borderId="2" xfId="4" applyNumberFormat="1" applyFont="1" applyFill="1" applyBorder="1" applyAlignment="1">
      <alignment horizontal="center" vertical="center" wrapText="1"/>
    </xf>
    <xf numFmtId="1" fontId="26" fillId="0" borderId="2" xfId="4" applyNumberFormat="1" applyFont="1" applyFill="1" applyBorder="1" applyAlignment="1">
      <alignment horizontal="center" vertical="center" wrapText="1"/>
    </xf>
    <xf numFmtId="1" fontId="26" fillId="0" borderId="5" xfId="4" applyNumberFormat="1" applyFont="1" applyFill="1" applyBorder="1" applyAlignment="1">
      <alignment horizontal="center" vertical="center" wrapText="1"/>
    </xf>
    <xf numFmtId="0" fontId="27" fillId="0" borderId="0" xfId="0" applyFont="1" applyFill="1"/>
    <xf numFmtId="0" fontId="0" fillId="0" borderId="15" xfId="0" applyFill="1" applyBorder="1" applyAlignment="1">
      <alignment horizontal="center" vertical="center"/>
    </xf>
    <xf numFmtId="0" fontId="18" fillId="0" borderId="3" xfId="4" applyFont="1" applyFill="1" applyBorder="1" applyAlignment="1">
      <alignment horizontal="center" vertical="center" wrapText="1"/>
    </xf>
    <xf numFmtId="167" fontId="18" fillId="0" borderId="3" xfId="3" applyNumberFormat="1" applyFont="1" applyFill="1" applyBorder="1" applyAlignment="1">
      <alignment horizontal="center" vertical="center" wrapText="1"/>
    </xf>
    <xf numFmtId="164" fontId="18" fillId="0" borderId="13" xfId="3" applyNumberFormat="1" applyFont="1" applyFill="1" applyBorder="1" applyAlignment="1">
      <alignment horizontal="center" vertical="center" wrapText="1"/>
    </xf>
    <xf numFmtId="164" fontId="18" fillId="0" borderId="15" xfId="3" applyNumberFormat="1" applyFont="1" applyFill="1" applyBorder="1" applyAlignment="1">
      <alignment horizontal="center" vertical="center" wrapText="1"/>
    </xf>
    <xf numFmtId="164" fontId="18" fillId="0" borderId="3" xfId="3" applyNumberFormat="1" applyFont="1" applyFill="1" applyBorder="1" applyAlignment="1">
      <alignment horizontal="center" vertical="center" wrapText="1"/>
    </xf>
    <xf numFmtId="164" fontId="18" fillId="0" borderId="6" xfId="3" applyNumberFormat="1" applyFont="1" applyFill="1" applyBorder="1" applyAlignment="1">
      <alignment horizontal="center" vertical="center" wrapText="1"/>
    </xf>
    <xf numFmtId="1" fontId="23" fillId="0" borderId="2" xfId="4" applyNumberFormat="1" applyFont="1" applyFill="1" applyBorder="1" applyAlignment="1">
      <alignment horizontal="center" vertical="center" wrapText="1"/>
    </xf>
    <xf numFmtId="173" fontId="23" fillId="0" borderId="2" xfId="4" applyNumberFormat="1" applyFont="1" applyFill="1" applyBorder="1" applyAlignment="1">
      <alignment horizontal="center" vertical="center" wrapText="1"/>
    </xf>
    <xf numFmtId="173" fontId="22" fillId="0" borderId="2" xfId="4" applyNumberFormat="1" applyFont="1" applyFill="1" applyBorder="1" applyAlignment="1">
      <alignment horizontal="center" vertical="center" wrapText="1"/>
    </xf>
    <xf numFmtId="173" fontId="23" fillId="0" borderId="5" xfId="4" applyNumberFormat="1" applyFont="1" applyFill="1" applyBorder="1" applyAlignment="1">
      <alignment horizontal="center" vertical="center" wrapText="1"/>
    </xf>
    <xf numFmtId="1" fontId="23" fillId="0" borderId="15" xfId="4" applyNumberFormat="1" applyFont="1" applyFill="1" applyBorder="1" applyAlignment="1">
      <alignment horizontal="center" vertical="center" wrapText="1"/>
    </xf>
    <xf numFmtId="173" fontId="23" fillId="0" borderId="13" xfId="4" applyNumberFormat="1" applyFont="1" applyFill="1" applyBorder="1" applyAlignment="1">
      <alignment horizontal="center" vertical="center" wrapText="1"/>
    </xf>
    <xf numFmtId="173" fontId="22" fillId="0" borderId="13" xfId="4" applyNumberFormat="1" applyFont="1" applyFill="1" applyBorder="1" applyAlignment="1">
      <alignment horizontal="center" vertical="center" wrapText="1"/>
    </xf>
    <xf numFmtId="173" fontId="23" fillId="0" borderId="15" xfId="4" applyNumberFormat="1" applyFont="1" applyFill="1" applyBorder="1" applyAlignment="1">
      <alignment horizontal="center" vertical="center" wrapText="1"/>
    </xf>
    <xf numFmtId="173" fontId="23" fillId="0" borderId="14" xfId="4" applyNumberFormat="1" applyFont="1" applyFill="1" applyBorder="1" applyAlignment="1">
      <alignment horizontal="center" vertical="center" wrapText="1"/>
    </xf>
    <xf numFmtId="173" fontId="23" fillId="0" borderId="16" xfId="4" applyNumberFormat="1" applyFont="1" applyFill="1" applyBorder="1" applyAlignment="1">
      <alignment horizontal="center" vertical="center" wrapText="1"/>
    </xf>
    <xf numFmtId="174" fontId="23" fillId="0" borderId="13" xfId="4" applyNumberFormat="1" applyFont="1" applyFill="1" applyBorder="1" applyAlignment="1">
      <alignment horizontal="center" vertical="center" wrapText="1"/>
    </xf>
    <xf numFmtId="0" fontId="4" fillId="0" borderId="2" xfId="0" applyFont="1" applyFill="1" applyBorder="1"/>
    <xf numFmtId="0" fontId="17" fillId="3" borderId="3" xfId="3" applyFont="1" applyFill="1" applyBorder="1" applyAlignment="1">
      <alignment horizontal="center" vertical="center"/>
    </xf>
    <xf numFmtId="0" fontId="17" fillId="3" borderId="3" xfId="4" applyFont="1" applyFill="1" applyBorder="1" applyAlignment="1">
      <alignment horizontal="center" vertical="center"/>
    </xf>
    <xf numFmtId="0" fontId="18" fillId="3" borderId="3" xfId="4" applyFont="1" applyFill="1" applyBorder="1" applyAlignment="1">
      <alignment vertical="center" wrapText="1"/>
    </xf>
    <xf numFmtId="169" fontId="28" fillId="0" borderId="3" xfId="1" applyNumberFormat="1" applyFont="1" applyFill="1" applyBorder="1" applyAlignment="1">
      <alignment vertical="center" wrapText="1"/>
    </xf>
    <xf numFmtId="164" fontId="18" fillId="3" borderId="13" xfId="3" applyNumberFormat="1" applyFont="1" applyFill="1" applyBorder="1" applyAlignment="1">
      <alignment horizontal="center" vertical="center" wrapText="1"/>
    </xf>
    <xf numFmtId="165" fontId="18" fillId="0" borderId="13" xfId="1" applyFont="1" applyFill="1" applyBorder="1" applyAlignment="1">
      <alignment vertical="center" wrapText="1"/>
    </xf>
    <xf numFmtId="165" fontId="18" fillId="2" borderId="15" xfId="1" applyFont="1" applyFill="1" applyBorder="1" applyAlignment="1">
      <alignment vertical="center" wrapText="1"/>
    </xf>
    <xf numFmtId="165" fontId="18" fillId="0" borderId="15" xfId="1" applyFont="1" applyFill="1" applyBorder="1" applyAlignment="1">
      <alignment vertical="center" wrapText="1"/>
    </xf>
    <xf numFmtId="0" fontId="3" fillId="0" borderId="2" xfId="0" applyFont="1" applyFill="1" applyBorder="1"/>
    <xf numFmtId="164" fontId="18" fillId="3" borderId="3" xfId="3" applyNumberFormat="1" applyFont="1" applyFill="1" applyBorder="1" applyAlignment="1">
      <alignment horizontal="center" vertical="center" wrapText="1"/>
    </xf>
    <xf numFmtId="164" fontId="18" fillId="3" borderId="6" xfId="3" applyNumberFormat="1" applyFont="1" applyFill="1" applyBorder="1" applyAlignment="1">
      <alignment horizontal="center" vertical="center" wrapText="1"/>
    </xf>
    <xf numFmtId="167" fontId="18" fillId="3" borderId="2" xfId="4" applyNumberFormat="1" applyFont="1" applyFill="1" applyBorder="1" applyAlignment="1">
      <alignment horizontal="center" vertical="center" wrapText="1"/>
    </xf>
    <xf numFmtId="167" fontId="3" fillId="0" borderId="2" xfId="0" applyNumberFormat="1" applyFont="1" applyFill="1" applyBorder="1"/>
    <xf numFmtId="2" fontId="28" fillId="0" borderId="2" xfId="0" applyNumberFormat="1" applyFont="1" applyFill="1" applyBorder="1" applyAlignment="1">
      <alignment horizontal="center" vertical="center" wrapText="1"/>
    </xf>
    <xf numFmtId="2" fontId="28" fillId="0" borderId="3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/>
    <xf numFmtId="2" fontId="28" fillId="3" borderId="2" xfId="0" applyNumberFormat="1" applyFont="1" applyFill="1" applyBorder="1" applyAlignment="1">
      <alignment horizontal="center" vertical="center" wrapText="1"/>
    </xf>
    <xf numFmtId="2" fontId="28" fillId="2" borderId="3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/>
    <xf numFmtId="4" fontId="28" fillId="3" borderId="3" xfId="3" applyNumberFormat="1" applyFont="1" applyFill="1" applyBorder="1" applyAlignment="1">
      <alignment horizontal="center" vertical="center" wrapText="1"/>
    </xf>
    <xf numFmtId="4" fontId="28" fillId="3" borderId="6" xfId="3" applyNumberFormat="1" applyFont="1" applyFill="1" applyBorder="1" applyAlignment="1">
      <alignment horizontal="center" vertical="center" wrapText="1"/>
    </xf>
    <xf numFmtId="0" fontId="17" fillId="0" borderId="3" xfId="3" applyFont="1" applyFill="1" applyBorder="1" applyAlignment="1">
      <alignment horizontal="center" vertical="center"/>
    </xf>
    <xf numFmtId="0" fontId="0" fillId="0" borderId="2" xfId="0" applyFill="1" applyBorder="1"/>
    <xf numFmtId="0" fontId="28" fillId="0" borderId="3" xfId="4" applyFont="1" applyFill="1" applyBorder="1" applyAlignment="1">
      <alignment vertical="center" wrapText="1"/>
    </xf>
    <xf numFmtId="0" fontId="28" fillId="0" borderId="2" xfId="0" applyFont="1" applyFill="1" applyBorder="1" applyAlignment="1">
      <alignment horizontal="center" vertical="center" wrapText="1"/>
    </xf>
    <xf numFmtId="4" fontId="28" fillId="0" borderId="3" xfId="3" applyNumberFormat="1" applyFont="1" applyFill="1" applyBorder="1" applyAlignment="1">
      <alignment horizontal="center" vertical="center" wrapText="1"/>
    </xf>
    <xf numFmtId="4" fontId="28" fillId="0" borderId="6" xfId="3" applyNumberFormat="1" applyFont="1" applyFill="1" applyBorder="1" applyAlignment="1">
      <alignment horizontal="center" vertical="center" wrapText="1"/>
    </xf>
    <xf numFmtId="167" fontId="28" fillId="0" borderId="2" xfId="4" applyNumberFormat="1" applyFont="1" applyFill="1" applyBorder="1" applyAlignment="1">
      <alignment horizontal="center" vertical="center" wrapText="1"/>
    </xf>
    <xf numFmtId="167" fontId="28" fillId="0" borderId="2" xfId="3" applyNumberFormat="1" applyFont="1" applyFill="1" applyBorder="1" applyAlignment="1">
      <alignment horizontal="center" vertical="center" wrapText="1"/>
    </xf>
    <xf numFmtId="173" fontId="20" fillId="0" borderId="5" xfId="4" applyNumberFormat="1" applyFont="1" applyFill="1" applyBorder="1" applyAlignment="1">
      <alignment horizontal="center" vertical="center" wrapText="1"/>
    </xf>
    <xf numFmtId="169" fontId="28" fillId="0" borderId="2" xfId="4" applyNumberFormat="1" applyFont="1" applyFill="1" applyBorder="1" applyAlignment="1">
      <alignment vertical="center" wrapText="1"/>
    </xf>
    <xf numFmtId="167" fontId="28" fillId="0" borderId="13" xfId="5" applyNumberFormat="1" applyFont="1" applyFill="1" applyBorder="1" applyAlignment="1">
      <alignment horizontal="center" vertical="center" wrapText="1"/>
    </xf>
    <xf numFmtId="167" fontId="28" fillId="0" borderId="5" xfId="4" applyNumberFormat="1" applyFont="1" applyFill="1" applyBorder="1" applyAlignment="1">
      <alignment horizontal="center" vertical="center" wrapText="1"/>
    </xf>
    <xf numFmtId="167" fontId="28" fillId="0" borderId="2" xfId="5" applyNumberFormat="1" applyFont="1" applyFill="1" applyBorder="1" applyAlignment="1">
      <alignment horizontal="center" vertical="center" wrapText="1"/>
    </xf>
    <xf numFmtId="167" fontId="28" fillId="0" borderId="3" xfId="4" applyNumberFormat="1" applyFont="1" applyFill="1" applyBorder="1" applyAlignment="1">
      <alignment horizontal="center" vertical="center" wrapText="1"/>
    </xf>
    <xf numFmtId="167" fontId="28" fillId="0" borderId="5" xfId="3" applyNumberFormat="1" applyFont="1" applyFill="1" applyBorder="1" applyAlignment="1">
      <alignment horizontal="center" vertical="center" wrapText="1"/>
    </xf>
    <xf numFmtId="167" fontId="31" fillId="0" borderId="5" xfId="4" applyNumberFormat="1" applyFont="1" applyFill="1" applyBorder="1" applyAlignment="1">
      <alignment horizontal="center" vertical="center" wrapText="1"/>
    </xf>
    <xf numFmtId="169" fontId="28" fillId="0" borderId="2" xfId="4" applyNumberFormat="1" applyFont="1" applyFill="1" applyBorder="1" applyAlignment="1">
      <alignment horizontal="right" vertical="center" wrapText="1"/>
    </xf>
    <xf numFmtId="0" fontId="12" fillId="0" borderId="0" xfId="0" applyFont="1" applyFill="1"/>
    <xf numFmtId="3" fontId="28" fillId="0" borderId="2" xfId="4" applyNumberFormat="1" applyFont="1" applyFill="1" applyBorder="1" applyAlignment="1">
      <alignment horizontal="right" vertical="center" wrapText="1"/>
    </xf>
    <xf numFmtId="10" fontId="32" fillId="0" borderId="2" xfId="0" applyNumberFormat="1" applyFont="1" applyFill="1" applyBorder="1"/>
    <xf numFmtId="167" fontId="33" fillId="0" borderId="2" xfId="4" applyNumberFormat="1" applyFont="1" applyFill="1" applyBorder="1" applyAlignment="1">
      <alignment horizontal="center" vertical="center" wrapText="1"/>
    </xf>
    <xf numFmtId="0" fontId="13" fillId="3" borderId="3" xfId="3" applyFont="1" applyFill="1" applyBorder="1" applyAlignment="1">
      <alignment horizontal="center" vertical="center"/>
    </xf>
    <xf numFmtId="0" fontId="13" fillId="3" borderId="3" xfId="4" applyFont="1" applyFill="1" applyBorder="1" applyAlignment="1">
      <alignment horizontal="center" vertical="center"/>
    </xf>
    <xf numFmtId="4" fontId="18" fillId="3" borderId="3" xfId="3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0" fontId="28" fillId="0" borderId="3" xfId="0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167" fontId="34" fillId="0" borderId="2" xfId="4" applyNumberFormat="1" applyFont="1" applyFill="1" applyBorder="1" applyAlignment="1">
      <alignment horizontal="center" vertical="center" wrapText="1"/>
    </xf>
    <xf numFmtId="1" fontId="28" fillId="0" borderId="5" xfId="4" applyNumberFormat="1" applyFont="1" applyFill="1" applyBorder="1" applyAlignment="1">
      <alignment horizontal="center" vertical="center" wrapText="1"/>
    </xf>
    <xf numFmtId="167" fontId="33" fillId="0" borderId="2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0" fillId="0" borderId="2" xfId="0" applyFont="1" applyFill="1" applyBorder="1"/>
    <xf numFmtId="167" fontId="18" fillId="0" borderId="2" xfId="4" applyNumberFormat="1" applyFont="1" applyFill="1" applyBorder="1" applyAlignment="1">
      <alignment horizontal="center" vertical="center" wrapText="1"/>
    </xf>
    <xf numFmtId="0" fontId="28" fillId="0" borderId="3" xfId="3" applyFont="1" applyFill="1" applyBorder="1" applyAlignment="1">
      <alignment vertical="center" wrapText="1"/>
    </xf>
    <xf numFmtId="0" fontId="18" fillId="3" borderId="3" xfId="3" applyFont="1" applyFill="1" applyBorder="1" applyAlignment="1">
      <alignment vertical="center" wrapText="1"/>
    </xf>
    <xf numFmtId="167" fontId="18" fillId="4" borderId="2" xfId="4" applyNumberFormat="1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28" fillId="0" borderId="17" xfId="3" applyFont="1" applyFill="1" applyBorder="1" applyAlignment="1">
      <alignment vertical="center" wrapText="1"/>
    </xf>
    <xf numFmtId="0" fontId="28" fillId="0" borderId="4" xfId="0" applyFont="1" applyFill="1" applyBorder="1" applyAlignment="1">
      <alignment horizontal="center" vertical="center" wrapText="1"/>
    </xf>
    <xf numFmtId="2" fontId="28" fillId="0" borderId="4" xfId="0" applyNumberFormat="1" applyFont="1" applyFill="1" applyBorder="1" applyAlignment="1">
      <alignment horizontal="center" vertical="center" wrapText="1"/>
    </xf>
    <xf numFmtId="2" fontId="28" fillId="0" borderId="17" xfId="0" applyNumberFormat="1" applyFont="1" applyFill="1" applyBorder="1" applyAlignment="1">
      <alignment horizontal="center" vertical="center" wrapText="1"/>
    </xf>
    <xf numFmtId="4" fontId="28" fillId="0" borderId="17" xfId="3" applyNumberFormat="1" applyFont="1" applyFill="1" applyBorder="1" applyAlignment="1">
      <alignment horizontal="center" vertical="center" wrapText="1"/>
    </xf>
    <xf numFmtId="4" fontId="28" fillId="0" borderId="11" xfId="3" applyNumberFormat="1" applyFont="1" applyFill="1" applyBorder="1" applyAlignment="1">
      <alignment horizontal="center" vertical="center" wrapText="1"/>
    </xf>
    <xf numFmtId="167" fontId="28" fillId="0" borderId="4" xfId="4" applyNumberFormat="1" applyFont="1" applyFill="1" applyBorder="1" applyAlignment="1">
      <alignment horizontal="center" vertical="center" wrapText="1"/>
    </xf>
    <xf numFmtId="173" fontId="20" fillId="0" borderId="8" xfId="4" applyNumberFormat="1" applyFont="1" applyFill="1" applyBorder="1" applyAlignment="1">
      <alignment horizontal="center" vertical="center" wrapText="1"/>
    </xf>
    <xf numFmtId="167" fontId="28" fillId="0" borderId="4" xfId="5" applyNumberFormat="1" applyFont="1" applyFill="1" applyBorder="1" applyAlignment="1">
      <alignment horizontal="center" vertical="center" wrapText="1"/>
    </xf>
    <xf numFmtId="167" fontId="28" fillId="0" borderId="8" xfId="4" applyNumberFormat="1" applyFont="1" applyFill="1" applyBorder="1" applyAlignment="1">
      <alignment horizontal="center" vertical="center" wrapText="1"/>
    </xf>
    <xf numFmtId="167" fontId="28" fillId="0" borderId="17" xfId="4" applyNumberFormat="1" applyFont="1" applyFill="1" applyBorder="1" applyAlignment="1">
      <alignment horizontal="center" vertical="center" wrapText="1"/>
    </xf>
    <xf numFmtId="0" fontId="11" fillId="0" borderId="2" xfId="0" applyFont="1" applyFill="1" applyBorder="1"/>
    <xf numFmtId="0" fontId="28" fillId="0" borderId="2" xfId="3" applyFont="1" applyFill="1" applyBorder="1" applyAlignment="1">
      <alignment vertical="center" wrapText="1"/>
    </xf>
    <xf numFmtId="4" fontId="28" fillId="0" borderId="2" xfId="3" applyNumberFormat="1" applyFont="1" applyFill="1" applyBorder="1" applyAlignment="1">
      <alignment horizontal="center" vertical="center" wrapText="1"/>
    </xf>
    <xf numFmtId="173" fontId="20" fillId="0" borderId="2" xfId="4" applyNumberFormat="1" applyFont="1" applyFill="1" applyBorder="1" applyAlignment="1">
      <alignment horizontal="center" vertical="center" wrapText="1"/>
    </xf>
    <xf numFmtId="0" fontId="3" fillId="0" borderId="18" xfId="0" applyFont="1" applyFill="1" applyBorder="1"/>
    <xf numFmtId="0" fontId="4" fillId="0" borderId="13" xfId="0" applyFont="1" applyFill="1" applyBorder="1"/>
    <xf numFmtId="0" fontId="28" fillId="0" borderId="15" xfId="3" applyFont="1" applyFill="1" applyBorder="1" applyAlignment="1">
      <alignment vertical="center" wrapText="1"/>
    </xf>
    <xf numFmtId="0" fontId="28" fillId="0" borderId="13" xfId="0" applyFont="1" applyFill="1" applyBorder="1" applyAlignment="1">
      <alignment horizontal="center" vertical="center" wrapText="1"/>
    </xf>
    <xf numFmtId="2" fontId="28" fillId="0" borderId="13" xfId="0" applyNumberFormat="1" applyFont="1" applyFill="1" applyBorder="1" applyAlignment="1">
      <alignment horizontal="center" vertical="center" wrapText="1"/>
    </xf>
    <xf numFmtId="2" fontId="28" fillId="0" borderId="15" xfId="0" applyNumberFormat="1" applyFont="1" applyFill="1" applyBorder="1" applyAlignment="1">
      <alignment horizontal="center" vertical="center" wrapText="1"/>
    </xf>
    <xf numFmtId="4" fontId="28" fillId="0" borderId="15" xfId="3" applyNumberFormat="1" applyFont="1" applyFill="1" applyBorder="1" applyAlignment="1">
      <alignment horizontal="center" vertical="center" wrapText="1"/>
    </xf>
    <xf numFmtId="4" fontId="28" fillId="0" borderId="16" xfId="3" applyNumberFormat="1" applyFont="1" applyFill="1" applyBorder="1" applyAlignment="1">
      <alignment horizontal="center" vertical="center" wrapText="1"/>
    </xf>
    <xf numFmtId="167" fontId="28" fillId="0" borderId="13" xfId="4" applyNumberFormat="1" applyFont="1" applyFill="1" applyBorder="1" applyAlignment="1">
      <alignment horizontal="center" vertical="center" wrapText="1"/>
    </xf>
    <xf numFmtId="173" fontId="20" fillId="0" borderId="14" xfId="4" applyNumberFormat="1" applyFont="1" applyFill="1" applyBorder="1" applyAlignment="1">
      <alignment horizontal="center" vertical="center" wrapText="1"/>
    </xf>
    <xf numFmtId="167" fontId="28" fillId="0" borderId="14" xfId="4" applyNumberFormat="1" applyFont="1" applyFill="1" applyBorder="1" applyAlignment="1">
      <alignment horizontal="center" vertical="center" wrapText="1"/>
    </xf>
    <xf numFmtId="175" fontId="28" fillId="0" borderId="2" xfId="0" applyNumberFormat="1" applyFont="1" applyFill="1" applyBorder="1" applyAlignment="1">
      <alignment horizontal="center" vertical="center" wrapText="1"/>
    </xf>
    <xf numFmtId="167" fontId="35" fillId="0" borderId="2" xfId="4" applyNumberFormat="1" applyFont="1" applyFill="1" applyBorder="1" applyAlignment="1">
      <alignment horizontal="center" vertical="center" wrapText="1"/>
    </xf>
    <xf numFmtId="2" fontId="36" fillId="0" borderId="3" xfId="0" applyNumberFormat="1" applyFont="1" applyFill="1" applyBorder="1" applyAlignment="1">
      <alignment horizontal="center" vertical="center" wrapText="1"/>
    </xf>
    <xf numFmtId="2" fontId="36" fillId="0" borderId="2" xfId="0" applyNumberFormat="1" applyFont="1" applyFill="1" applyBorder="1" applyAlignment="1">
      <alignment horizontal="center" vertical="center" wrapText="1"/>
    </xf>
    <xf numFmtId="1" fontId="28" fillId="0" borderId="2" xfId="4" applyNumberFormat="1" applyFont="1" applyFill="1" applyBorder="1" applyAlignment="1">
      <alignment horizontal="center" vertical="center" wrapText="1"/>
    </xf>
    <xf numFmtId="0" fontId="18" fillId="3" borderId="3" xfId="3" applyFont="1" applyFill="1" applyBorder="1" applyAlignment="1">
      <alignment horizontal="left" vertical="center" wrapText="1"/>
    </xf>
    <xf numFmtId="167" fontId="18" fillId="3" borderId="2" xfId="3" applyNumberFormat="1" applyFont="1" applyFill="1" applyBorder="1" applyAlignment="1">
      <alignment horizontal="center" vertical="center" wrapText="1"/>
    </xf>
    <xf numFmtId="167" fontId="18" fillId="3" borderId="3" xfId="4" applyNumberFormat="1" applyFont="1" applyFill="1" applyBorder="1" applyAlignment="1">
      <alignment horizontal="center" vertical="center" wrapText="1"/>
    </xf>
    <xf numFmtId="0" fontId="19" fillId="0" borderId="3" xfId="3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center" vertical="center" wrapText="1"/>
    </xf>
    <xf numFmtId="2" fontId="19" fillId="0" borderId="2" xfId="0" applyNumberFormat="1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/>
    </xf>
    <xf numFmtId="166" fontId="28" fillId="0" borderId="2" xfId="4" applyNumberFormat="1" applyFont="1" applyFill="1" applyBorder="1" applyAlignment="1">
      <alignment horizontal="center" vertical="center" wrapText="1"/>
    </xf>
    <xf numFmtId="167" fontId="18" fillId="0" borderId="3" xfId="4" applyNumberFormat="1" applyFont="1" applyFill="1" applyBorder="1" applyAlignment="1">
      <alignment horizontal="center" vertical="center" wrapText="1"/>
    </xf>
    <xf numFmtId="167" fontId="28" fillId="0" borderId="5" xfId="5" applyNumberFormat="1" applyFont="1" applyFill="1" applyBorder="1" applyAlignment="1">
      <alignment horizontal="center" vertical="center" wrapText="1"/>
    </xf>
    <xf numFmtId="4" fontId="28" fillId="0" borderId="3" xfId="4" applyNumberFormat="1" applyFont="1" applyFill="1" applyBorder="1" applyAlignment="1">
      <alignment horizontal="center" vertical="center" wrapText="1"/>
    </xf>
    <xf numFmtId="4" fontId="28" fillId="0" borderId="6" xfId="4" applyNumberFormat="1" applyFont="1" applyFill="1" applyBorder="1" applyAlignment="1">
      <alignment horizontal="center" vertical="center" wrapText="1"/>
    </xf>
    <xf numFmtId="2" fontId="18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/>
    <xf numFmtId="0" fontId="0" fillId="0" borderId="2" xfId="0" applyFill="1" applyBorder="1" applyAlignment="1">
      <alignment wrapText="1"/>
    </xf>
    <xf numFmtId="0" fontId="37" fillId="0" borderId="2" xfId="0" applyFont="1" applyFill="1" applyBorder="1" applyAlignment="1">
      <alignment wrapText="1"/>
    </xf>
    <xf numFmtId="0" fontId="28" fillId="0" borderId="2" xfId="4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167" fontId="28" fillId="0" borderId="3" xfId="3" applyNumberFormat="1" applyFont="1" applyFill="1" applyBorder="1" applyAlignment="1">
      <alignment vertical="center" wrapText="1"/>
    </xf>
    <xf numFmtId="0" fontId="17" fillId="0" borderId="2" xfId="3" applyFont="1" applyFill="1" applyBorder="1" applyAlignment="1">
      <alignment horizontal="center" vertical="center"/>
    </xf>
    <xf numFmtId="169" fontId="28" fillId="0" borderId="2" xfId="1" applyNumberFormat="1" applyFont="1" applyFill="1" applyBorder="1" applyAlignment="1">
      <alignment vertical="center" wrapText="1"/>
    </xf>
    <xf numFmtId="0" fontId="4" fillId="0" borderId="0" xfId="0" applyFont="1" applyFill="1" applyBorder="1"/>
    <xf numFmtId="1" fontId="20" fillId="0" borderId="2" xfId="4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9" fillId="0" borderId="2" xfId="0" applyFont="1" applyFill="1" applyBorder="1"/>
    <xf numFmtId="0" fontId="13" fillId="3" borderId="2" xfId="3" applyFont="1" applyFill="1" applyBorder="1" applyAlignment="1">
      <alignment horizontal="center" vertical="center"/>
    </xf>
    <xf numFmtId="0" fontId="13" fillId="3" borderId="2" xfId="4" applyFont="1" applyFill="1" applyBorder="1" applyAlignment="1">
      <alignment horizontal="center" vertical="center"/>
    </xf>
    <xf numFmtId="0" fontId="18" fillId="3" borderId="2" xfId="3" applyFont="1" applyFill="1" applyBorder="1" applyAlignment="1">
      <alignment vertical="center" wrapText="1"/>
    </xf>
    <xf numFmtId="4" fontId="18" fillId="3" borderId="2" xfId="3" applyNumberFormat="1" applyFont="1" applyFill="1" applyBorder="1" applyAlignment="1">
      <alignment horizontal="center" vertical="center" wrapText="1"/>
    </xf>
    <xf numFmtId="4" fontId="28" fillId="3" borderId="2" xfId="3" applyNumberFormat="1" applyFont="1" applyFill="1" applyBorder="1" applyAlignment="1">
      <alignment horizontal="center" vertical="center" wrapText="1"/>
    </xf>
    <xf numFmtId="1" fontId="23" fillId="0" borderId="5" xfId="4" applyNumberFormat="1" applyFont="1" applyFill="1" applyBorder="1" applyAlignment="1">
      <alignment horizontal="center" vertical="center" wrapText="1"/>
    </xf>
    <xf numFmtId="2" fontId="40" fillId="0" borderId="2" xfId="0" applyNumberFormat="1" applyFont="1" applyFill="1" applyBorder="1" applyAlignment="1">
      <alignment horizontal="center" vertical="center" wrapText="1"/>
    </xf>
    <xf numFmtId="2" fontId="40" fillId="0" borderId="3" xfId="0" applyNumberFormat="1" applyFont="1" applyFill="1" applyBorder="1" applyAlignment="1">
      <alignment horizontal="center" vertical="center" wrapText="1"/>
    </xf>
    <xf numFmtId="4" fontId="41" fillId="3" borderId="3" xfId="3" applyNumberFormat="1" applyFont="1" applyFill="1" applyBorder="1" applyAlignment="1">
      <alignment horizontal="center" vertical="center" wrapText="1"/>
    </xf>
    <xf numFmtId="176" fontId="32" fillId="0" borderId="2" xfId="0" applyNumberFormat="1" applyFont="1" applyFill="1" applyBorder="1"/>
    <xf numFmtId="166" fontId="18" fillId="3" borderId="2" xfId="4" applyNumberFormat="1" applyFont="1" applyFill="1" applyBorder="1" applyAlignment="1">
      <alignment horizontal="center" vertical="center" wrapText="1"/>
    </xf>
    <xf numFmtId="0" fontId="42" fillId="3" borderId="3" xfId="3" applyFont="1" applyFill="1" applyBorder="1" applyAlignment="1">
      <alignment horizontal="center" vertical="center"/>
    </xf>
    <xf numFmtId="0" fontId="42" fillId="3" borderId="3" xfId="4" applyFont="1" applyFill="1" applyBorder="1" applyAlignment="1">
      <alignment horizontal="center" vertical="center"/>
    </xf>
    <xf numFmtId="0" fontId="42" fillId="3" borderId="3" xfId="3" applyFont="1" applyFill="1" applyBorder="1" applyAlignment="1">
      <alignment vertical="center" wrapText="1"/>
    </xf>
    <xf numFmtId="2" fontId="42" fillId="3" borderId="2" xfId="0" applyNumberFormat="1" applyFont="1" applyFill="1" applyBorder="1" applyAlignment="1">
      <alignment horizontal="center" vertical="center" wrapText="1"/>
    </xf>
    <xf numFmtId="2" fontId="19" fillId="0" borderId="3" xfId="0" applyNumberFormat="1" applyFont="1" applyFill="1" applyBorder="1" applyAlignment="1">
      <alignment horizontal="center" vertical="center" wrapText="1"/>
    </xf>
    <xf numFmtId="4" fontId="19" fillId="3" borderId="3" xfId="3" applyNumberFormat="1" applyFont="1" applyFill="1" applyBorder="1" applyAlignment="1">
      <alignment horizontal="center" vertical="center" wrapText="1"/>
    </xf>
    <xf numFmtId="4" fontId="19" fillId="3" borderId="6" xfId="3" applyNumberFormat="1" applyFont="1" applyFill="1" applyBorder="1" applyAlignment="1">
      <alignment horizontal="center" vertical="center" wrapText="1"/>
    </xf>
    <xf numFmtId="0" fontId="43" fillId="0" borderId="0" xfId="0" applyFont="1" applyFill="1"/>
    <xf numFmtId="0" fontId="19" fillId="0" borderId="3" xfId="3" applyFont="1" applyFill="1" applyBorder="1" applyAlignment="1">
      <alignment horizontal="center" vertical="center"/>
    </xf>
    <xf numFmtId="4" fontId="19" fillId="0" borderId="3" xfId="3" applyNumberFormat="1" applyFont="1" applyFill="1" applyBorder="1" applyAlignment="1">
      <alignment horizontal="center" vertical="center" wrapText="1"/>
    </xf>
    <xf numFmtId="4" fontId="19" fillId="0" borderId="6" xfId="3" applyNumberFormat="1" applyFont="1" applyFill="1" applyBorder="1" applyAlignment="1">
      <alignment horizontal="center" vertical="center" wrapText="1"/>
    </xf>
    <xf numFmtId="167" fontId="19" fillId="0" borderId="4" xfId="4" applyNumberFormat="1" applyFont="1" applyFill="1" applyBorder="1" applyAlignment="1">
      <alignment horizontal="center" vertical="center" wrapText="1"/>
    </xf>
    <xf numFmtId="167" fontId="28" fillId="0" borderId="4" xfId="3" applyNumberFormat="1" applyFont="1" applyFill="1" applyBorder="1" applyAlignment="1">
      <alignment horizontal="center" vertical="center" wrapText="1"/>
    </xf>
    <xf numFmtId="167" fontId="19" fillId="0" borderId="4" xfId="5" applyNumberFormat="1" applyFont="1" applyFill="1" applyBorder="1" applyAlignment="1">
      <alignment horizontal="center" vertical="center" wrapText="1"/>
    </xf>
    <xf numFmtId="167" fontId="19" fillId="0" borderId="2" xfId="4" applyNumberFormat="1" applyFont="1" applyFill="1" applyBorder="1" applyAlignment="1">
      <alignment horizontal="center" vertical="center" wrapText="1"/>
    </xf>
    <xf numFmtId="167" fontId="19" fillId="0" borderId="17" xfId="4" applyNumberFormat="1" applyFont="1" applyFill="1" applyBorder="1" applyAlignment="1">
      <alignment horizontal="center" vertical="center" wrapText="1"/>
    </xf>
    <xf numFmtId="169" fontId="28" fillId="0" borderId="2" xfId="4" applyNumberFormat="1" applyFont="1" applyFill="1" applyBorder="1" applyAlignment="1">
      <alignment horizontal="center" vertical="center" wrapText="1"/>
    </xf>
    <xf numFmtId="14" fontId="44" fillId="3" borderId="5" xfId="0" applyNumberFormat="1" applyFont="1" applyFill="1" applyBorder="1" applyAlignment="1">
      <alignment vertical="center"/>
    </xf>
    <xf numFmtId="14" fontId="44" fillId="3" borderId="6" xfId="0" applyNumberFormat="1" applyFont="1" applyFill="1" applyBorder="1" applyAlignment="1">
      <alignment vertical="center"/>
    </xf>
    <xf numFmtId="14" fontId="44" fillId="3" borderId="3" xfId="0" applyNumberFormat="1" applyFont="1" applyFill="1" applyBorder="1" applyAlignment="1">
      <alignment vertical="center"/>
    </xf>
    <xf numFmtId="0" fontId="45" fillId="3" borderId="2" xfId="3" applyFont="1" applyFill="1" applyBorder="1" applyAlignment="1">
      <alignment vertical="center" wrapText="1"/>
    </xf>
    <xf numFmtId="169" fontId="28" fillId="3" borderId="2" xfId="1" applyNumberFormat="1" applyFont="1" applyFill="1" applyBorder="1" applyAlignment="1">
      <alignment vertical="center" wrapText="1"/>
    </xf>
    <xf numFmtId="164" fontId="45" fillId="3" borderId="2" xfId="3" applyNumberFormat="1" applyFont="1" applyFill="1" applyBorder="1" applyAlignment="1">
      <alignment horizontal="center" vertical="center" wrapText="1"/>
    </xf>
    <xf numFmtId="167" fontId="45" fillId="3" borderId="2" xfId="4" applyNumberFormat="1" applyFont="1" applyFill="1" applyBorder="1" applyAlignment="1">
      <alignment horizontal="center"/>
    </xf>
    <xf numFmtId="4" fontId="45" fillId="3" borderId="2" xfId="4" applyNumberFormat="1" applyFont="1" applyFill="1" applyBorder="1" applyAlignment="1">
      <alignment horizontal="center"/>
    </xf>
    <xf numFmtId="3" fontId="45" fillId="3" borderId="2" xfId="4" applyNumberFormat="1" applyFont="1" applyFill="1" applyBorder="1" applyAlignment="1">
      <alignment horizontal="center"/>
    </xf>
    <xf numFmtId="0" fontId="51" fillId="0" borderId="0" xfId="3" applyFont="1" applyFill="1" applyBorder="1" applyAlignment="1">
      <alignment vertical="center"/>
    </xf>
    <xf numFmtId="1" fontId="21" fillId="0" borderId="5" xfId="3" applyNumberFormat="1" applyFont="1" applyFill="1" applyBorder="1" applyAlignment="1">
      <alignment horizontal="center" vertical="center" wrapText="1"/>
    </xf>
    <xf numFmtId="1" fontId="21" fillId="0" borderId="6" xfId="3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41" fontId="0" fillId="0" borderId="2" xfId="0" applyNumberFormat="1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wrapText="1"/>
    </xf>
    <xf numFmtId="2" fontId="18" fillId="0" borderId="3" xfId="0" applyNumberFormat="1" applyFont="1" applyFill="1" applyBorder="1" applyAlignment="1">
      <alignment horizontal="center" vertical="center" wrapText="1"/>
    </xf>
    <xf numFmtId="41" fontId="0" fillId="0" borderId="2" xfId="0" applyNumberFormat="1" applyFont="1" applyFill="1" applyBorder="1" applyAlignment="1">
      <alignment horizontal="center"/>
    </xf>
    <xf numFmtId="3" fontId="10" fillId="0" borderId="2" xfId="0" applyNumberFormat="1" applyFont="1" applyFill="1" applyBorder="1" applyAlignment="1">
      <alignment vertical="center"/>
    </xf>
    <xf numFmtId="0" fontId="38" fillId="0" borderId="2" xfId="0" applyFont="1" applyFill="1" applyBorder="1"/>
    <xf numFmtId="0" fontId="0" fillId="0" borderId="2" xfId="0" applyFill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/>
    </xf>
    <xf numFmtId="164" fontId="28" fillId="0" borderId="13" xfId="3" applyNumberFormat="1" applyFont="1" applyFill="1" applyBorder="1" applyAlignment="1">
      <alignment horizontal="center" vertical="center" wrapText="1"/>
    </xf>
    <xf numFmtId="1" fontId="20" fillId="0" borderId="5" xfId="4" applyNumberFormat="1" applyFont="1" applyFill="1" applyBorder="1" applyAlignment="1">
      <alignment horizontal="center" vertical="center" wrapText="1"/>
    </xf>
    <xf numFmtId="173" fontId="22" fillId="0" borderId="5" xfId="4" applyNumberFormat="1" applyFont="1" applyFill="1" applyBorder="1" applyAlignment="1">
      <alignment horizontal="center" vertical="center" wrapText="1"/>
    </xf>
    <xf numFmtId="1" fontId="20" fillId="0" borderId="2" xfId="5" applyNumberFormat="1" applyFont="1" applyFill="1" applyBorder="1" applyAlignment="1">
      <alignment horizontal="center" vertical="center" wrapText="1"/>
    </xf>
    <xf numFmtId="1" fontId="28" fillId="0" borderId="5" xfId="4" applyNumberFormat="1" applyFont="1" applyFill="1" applyBorder="1" applyAlignment="1">
      <alignment horizontal="right" vertical="center" wrapText="1"/>
    </xf>
    <xf numFmtId="173" fontId="20" fillId="0" borderId="6" xfId="4" applyNumberFormat="1" applyFont="1" applyFill="1" applyBorder="1" applyAlignment="1">
      <alignment horizontal="center" vertical="center" wrapText="1"/>
    </xf>
    <xf numFmtId="1" fontId="20" fillId="0" borderId="3" xfId="3" applyNumberFormat="1" applyFont="1" applyFill="1" applyBorder="1" applyAlignment="1">
      <alignment horizontal="center" vertical="center" wrapText="1"/>
    </xf>
  </cellXfs>
  <cellStyles count="72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2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3/13%20&#1056;&#1077;&#1096;&#1077;&#1085;&#1080;&#1077;%20&#1082;&#1086;&#1084;&#1080;&#1089;&#1089;&#1080;&#1080;/&#1057;&#1042;&#1054;&#1044;%20&#1082;&#1086;&#1084;&#1080;&#1089;&#1089;&#1080;&#1103;%20&#8470;13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подуш. 2023 интегрир"/>
      <sheetName val="АПП самост "/>
      <sheetName val="СВОД!"/>
      <sheetName val="план. ст-ть"/>
      <sheetName val="Охотск свод"/>
      <sheetName val="Аян свод"/>
      <sheetName val="Тугур свод"/>
      <sheetName val="свод КС_подушевой"/>
      <sheetName val="Онкология"/>
      <sheetName val="ТПОМС 2021+Онко"/>
      <sheetName val="ТПОМС 2020+ Онко"/>
      <sheetName val="ТПОМС2022+Онко"/>
      <sheetName val="Лист1"/>
      <sheetName val="СПК ДС"/>
      <sheetName val="СПК СДП"/>
      <sheetName val="СПК КС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97">
          <cell r="EB697">
            <v>345039312.52130365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DX486"/>
  <sheetViews>
    <sheetView tabSelected="1" zoomScale="70" zoomScaleNormal="70" zoomScaleSheetLayoutView="85" workbookViewId="0">
      <pane xSplit="15" ySplit="16" topLeftCell="P17" activePane="bottomRight" state="frozen"/>
      <selection activeCell="C538" sqref="C538"/>
      <selection pane="topRight" activeCell="C538" sqref="C538"/>
      <selection pane="bottomLeft" activeCell="C538" sqref="C538"/>
      <selection pane="bottomRight" activeCell="CB19" sqref="CB19"/>
    </sheetView>
  </sheetViews>
  <sheetFormatPr defaultColWidth="9.140625" defaultRowHeight="15.75" x14ac:dyDescent="0.25"/>
  <cols>
    <col min="1" max="1" width="4.28515625" style="1" customWidth="1"/>
    <col min="2" max="2" width="8.42578125" style="1" customWidth="1"/>
    <col min="3" max="3" width="10.85546875" style="1" customWidth="1"/>
    <col min="4" max="4" width="43.28515625" style="2" customWidth="1"/>
    <col min="5" max="5" width="9.140625" style="2" hidden="1" customWidth="1"/>
    <col min="6" max="6" width="11" style="3" customWidth="1"/>
    <col min="7" max="10" width="9.140625" style="3" hidden="1" customWidth="1"/>
    <col min="11" max="11" width="10.28515625" style="3" hidden="1" customWidth="1"/>
    <col min="12" max="15" width="4.85546875" style="3" hidden="1" customWidth="1"/>
    <col min="16" max="16" width="12.5703125" style="4" customWidth="1"/>
    <col min="17" max="17" width="16.28515625" style="4" customWidth="1"/>
    <col min="18" max="18" width="12" style="4" customWidth="1"/>
    <col min="19" max="19" width="17.42578125" style="4" customWidth="1"/>
    <col min="20" max="20" width="12.42578125" style="6" customWidth="1"/>
    <col min="21" max="21" width="16.140625" style="6" customWidth="1"/>
    <col min="22" max="22" width="11.7109375" style="7" customWidth="1"/>
    <col min="23" max="23" width="18.140625" style="4" customWidth="1"/>
    <col min="24" max="24" width="12.5703125" style="4" hidden="1" customWidth="1"/>
    <col min="25" max="25" width="15.7109375" style="4" hidden="1" customWidth="1"/>
    <col min="26" max="26" width="13.42578125" style="4" hidden="1" customWidth="1"/>
    <col min="27" max="27" width="14.42578125" style="4" hidden="1" customWidth="1"/>
    <col min="28" max="28" width="13.28515625" style="4" customWidth="1"/>
    <col min="29" max="29" width="17.140625" style="4" customWidth="1"/>
    <col min="30" max="30" width="10.7109375" style="4" hidden="1" customWidth="1"/>
    <col min="31" max="31" width="15.5703125" style="4" hidden="1" customWidth="1"/>
    <col min="32" max="32" width="10.5703125" style="4" customWidth="1"/>
    <col min="33" max="33" width="15.42578125" style="4" customWidth="1"/>
    <col min="34" max="34" width="13.140625" style="4" hidden="1" customWidth="1"/>
    <col min="35" max="35" width="17.42578125" style="4" hidden="1" customWidth="1"/>
    <col min="36" max="39" width="8.5703125" style="4" hidden="1" customWidth="1"/>
    <col min="40" max="40" width="11.85546875" style="4" hidden="1" customWidth="1"/>
    <col min="41" max="41" width="16.85546875" style="4" hidden="1" customWidth="1"/>
    <col min="42" max="42" width="12.28515625" style="4" customWidth="1"/>
    <col min="43" max="43" width="17.5703125" style="4" customWidth="1"/>
    <col min="44" max="44" width="11" style="4" customWidth="1"/>
    <col min="45" max="45" width="16.5703125" style="4" customWidth="1"/>
    <col min="46" max="46" width="12" style="4" customWidth="1"/>
    <col min="47" max="47" width="16.42578125" style="4" customWidth="1"/>
    <col min="48" max="48" width="11.85546875" style="4" customWidth="1"/>
    <col min="49" max="49" width="17.7109375" style="4" customWidth="1"/>
    <col min="50" max="50" width="11.42578125" style="4" customWidth="1"/>
    <col min="51" max="51" width="15.5703125" style="4" customWidth="1"/>
    <col min="52" max="52" width="11.28515625" style="6" hidden="1" customWidth="1"/>
    <col min="53" max="53" width="15.5703125" style="6" hidden="1" customWidth="1"/>
    <col min="54" max="54" width="11" style="4" hidden="1" customWidth="1"/>
    <col min="55" max="55" width="18.28515625" style="4" hidden="1" customWidth="1"/>
    <col min="56" max="56" width="11.7109375" style="4" customWidth="1"/>
    <col min="57" max="57" width="17.85546875" style="4" customWidth="1"/>
    <col min="58" max="58" width="11.5703125" style="4" customWidth="1"/>
    <col min="59" max="59" width="17.42578125" style="4" customWidth="1"/>
    <col min="60" max="60" width="12.140625" style="4" customWidth="1"/>
    <col min="61" max="61" width="16.5703125" style="4" customWidth="1"/>
    <col min="62" max="62" width="11.28515625" style="4" customWidth="1"/>
    <col min="63" max="63" width="15" style="4" customWidth="1"/>
    <col min="64" max="64" width="10.85546875" style="4" customWidth="1"/>
    <col min="65" max="65" width="16" style="4" customWidth="1"/>
    <col min="66" max="66" width="11.140625" style="4" customWidth="1"/>
    <col min="67" max="67" width="17.140625" style="4" customWidth="1"/>
    <col min="68" max="68" width="9.7109375" style="4" customWidth="1"/>
    <col min="69" max="69" width="16.5703125" style="4" customWidth="1"/>
    <col min="70" max="70" width="11.85546875" style="4" customWidth="1"/>
    <col min="71" max="71" width="16.85546875" style="4" customWidth="1"/>
    <col min="72" max="72" width="11.28515625" style="4" customWidth="1"/>
    <col min="73" max="73" width="18.140625" style="4" customWidth="1"/>
    <col min="74" max="74" width="12" style="4" customWidth="1"/>
    <col min="75" max="75" width="16.85546875" style="4" customWidth="1"/>
    <col min="76" max="76" width="10.5703125" style="4" customWidth="1"/>
    <col min="77" max="77" width="17" style="4" customWidth="1"/>
    <col min="78" max="78" width="11.42578125" style="4" customWidth="1"/>
    <col min="79" max="79" width="18.28515625" style="4" customWidth="1"/>
    <col min="80" max="80" width="11.85546875" style="4" customWidth="1"/>
    <col min="81" max="81" width="15.42578125" style="4" customWidth="1"/>
    <col min="82" max="82" width="11.140625" style="4" hidden="1" customWidth="1"/>
    <col min="83" max="83" width="15.140625" style="4" hidden="1" customWidth="1"/>
    <col min="84" max="84" width="11.42578125" style="4" hidden="1" customWidth="1"/>
    <col min="85" max="85" width="15.140625" style="4" hidden="1" customWidth="1"/>
    <col min="86" max="86" width="11.28515625" style="4" customWidth="1"/>
    <col min="87" max="87" width="17.85546875" style="4" customWidth="1"/>
    <col min="88" max="88" width="11.28515625" style="4" hidden="1" customWidth="1"/>
    <col min="89" max="89" width="16.28515625" style="4" hidden="1" customWidth="1"/>
    <col min="90" max="90" width="12" style="4" customWidth="1"/>
    <col min="91" max="91" width="16.140625" style="4" customWidth="1"/>
    <col min="92" max="92" width="11.140625" style="4" customWidth="1"/>
    <col min="93" max="93" width="15.7109375" style="4" customWidth="1"/>
    <col min="94" max="94" width="11.28515625" style="4" customWidth="1"/>
    <col min="95" max="95" width="15.28515625" style="4" customWidth="1"/>
    <col min="96" max="96" width="10.85546875" style="4" customWidth="1"/>
    <col min="97" max="97" width="17" style="4" customWidth="1"/>
    <col min="98" max="98" width="11" style="4" customWidth="1"/>
    <col min="99" max="99" width="17.28515625" style="4" customWidth="1"/>
    <col min="100" max="100" width="12.5703125" style="4" hidden="1" customWidth="1"/>
    <col min="101" max="101" width="17" style="4" hidden="1" customWidth="1"/>
    <col min="102" max="102" width="9.85546875" style="4" customWidth="1"/>
    <col min="103" max="103" width="16.85546875" style="4" customWidth="1"/>
    <col min="104" max="104" width="11.85546875" style="4" hidden="1" customWidth="1"/>
    <col min="105" max="105" width="15.5703125" style="4" hidden="1" customWidth="1"/>
    <col min="106" max="106" width="12.140625" style="4" hidden="1" customWidth="1"/>
    <col min="107" max="107" width="16.7109375" style="4" hidden="1" customWidth="1"/>
    <col min="108" max="108" width="11.28515625" style="4" hidden="1" customWidth="1"/>
    <col min="109" max="109" width="14.7109375" style="4" hidden="1" customWidth="1"/>
    <col min="110" max="110" width="11.28515625" style="4" hidden="1" customWidth="1"/>
    <col min="111" max="111" width="17.140625" style="4" hidden="1" customWidth="1"/>
    <col min="112" max="112" width="11.42578125" style="4" hidden="1" customWidth="1"/>
    <col min="113" max="113" width="15.140625" style="4" hidden="1" customWidth="1"/>
    <col min="114" max="114" width="11.85546875" style="4" customWidth="1"/>
    <col min="115" max="115" width="16.5703125" style="4" customWidth="1"/>
    <col min="116" max="116" width="11.140625" style="4" hidden="1" customWidth="1"/>
    <col min="117" max="117" width="16.140625" style="4" hidden="1" customWidth="1"/>
    <col min="118" max="118" width="10" style="4" hidden="1" customWidth="1"/>
    <col min="119" max="119" width="17" style="4" hidden="1" customWidth="1"/>
    <col min="120" max="120" width="9.85546875" style="4" hidden="1" customWidth="1"/>
    <col min="121" max="121" width="15.85546875" style="4" hidden="1" customWidth="1"/>
    <col min="122" max="122" width="11.140625" style="1" hidden="1" customWidth="1"/>
    <col min="123" max="123" width="18.42578125" style="1" hidden="1" customWidth="1"/>
    <col min="124" max="124" width="12" style="1" hidden="1" customWidth="1"/>
    <col min="125" max="125" width="18.28515625" style="1" hidden="1" customWidth="1"/>
    <col min="126" max="126" width="11.7109375" style="1" hidden="1" customWidth="1"/>
    <col min="127" max="127" width="18.28515625" style="1" hidden="1" customWidth="1"/>
    <col min="128" max="128" width="16.28515625" style="1" customWidth="1"/>
    <col min="129" max="129" width="9.140625" style="1" customWidth="1"/>
    <col min="130" max="16384" width="9.140625" style="1"/>
  </cols>
  <sheetData>
    <row r="1" spans="1:127" ht="18" customHeight="1" x14ac:dyDescent="0.25">
      <c r="Q1" s="5" t="s">
        <v>1038</v>
      </c>
      <c r="R1" s="5"/>
      <c r="S1" s="5"/>
    </row>
    <row r="2" spans="1:127" ht="28.5" customHeight="1" x14ac:dyDescent="0.25">
      <c r="Q2" s="8" t="s">
        <v>1039</v>
      </c>
      <c r="R2" s="8"/>
      <c r="S2" s="8"/>
      <c r="BQ2" s="9"/>
      <c r="DI2" s="10"/>
      <c r="DM2" s="10"/>
      <c r="DO2" s="10"/>
    </row>
    <row r="3" spans="1:127" ht="23.25" customHeight="1" x14ac:dyDescent="0.25">
      <c r="A3" s="11"/>
      <c r="B3" s="307" t="s">
        <v>0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Q3" s="13"/>
      <c r="R3" s="14"/>
      <c r="S3" s="1"/>
      <c r="U3" s="15"/>
      <c r="AI3" s="13"/>
      <c r="AQ3" s="13"/>
      <c r="AT3" s="13"/>
      <c r="AU3" s="13"/>
      <c r="BM3" s="9"/>
      <c r="BO3" s="9"/>
      <c r="BQ3" s="9"/>
      <c r="BS3" s="13"/>
      <c r="BU3" s="9"/>
      <c r="BX3" s="13"/>
      <c r="BY3" s="13"/>
      <c r="BZ3" s="13"/>
      <c r="CA3" s="13"/>
      <c r="CC3" s="9"/>
      <c r="CI3" s="9"/>
      <c r="CQ3" s="9"/>
      <c r="CR3" s="13"/>
      <c r="CS3" s="13"/>
      <c r="CU3" s="9"/>
      <c r="CX3" s="7"/>
      <c r="CY3" s="16"/>
      <c r="DB3" s="13" t="e">
        <f>#REF!</f>
        <v>#REF!</v>
      </c>
      <c r="DC3" s="13" t="e">
        <f>#REF!</f>
        <v>#REF!</v>
      </c>
      <c r="DI3" s="9"/>
      <c r="DJ3" s="13"/>
      <c r="DK3" s="13"/>
      <c r="DL3" s="17"/>
      <c r="DM3" s="9"/>
      <c r="DO3" s="9"/>
    </row>
    <row r="4" spans="1:127" ht="7.5" customHeight="1" x14ac:dyDescent="0.25">
      <c r="A4" s="18"/>
      <c r="B4" s="19"/>
      <c r="C4" s="19"/>
      <c r="D4" s="20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2"/>
      <c r="Q4" s="22"/>
      <c r="R4" s="1"/>
      <c r="S4" s="1"/>
      <c r="T4" s="23"/>
      <c r="U4" s="23"/>
      <c r="V4" s="24"/>
      <c r="W4" s="24"/>
      <c r="X4" s="24"/>
      <c r="Y4" s="24"/>
      <c r="Z4" s="24"/>
      <c r="AA4" s="24"/>
      <c r="AB4" s="25"/>
      <c r="AC4" s="25"/>
      <c r="AF4" s="22"/>
      <c r="AG4" s="22"/>
      <c r="AH4" s="24"/>
      <c r="AI4" s="24"/>
      <c r="AJ4" s="25"/>
      <c r="AK4" s="25"/>
      <c r="AL4" s="25"/>
      <c r="AM4" s="25"/>
      <c r="AN4" s="26"/>
      <c r="AO4" s="27"/>
      <c r="AP4" s="25"/>
      <c r="AQ4" s="28"/>
      <c r="AR4" s="22"/>
      <c r="AS4" s="22"/>
      <c r="AT4" s="29"/>
      <c r="AU4" s="30">
        <f>'[1]СВОД!'!EB697</f>
        <v>345039312.52130365</v>
      </c>
      <c r="AV4" s="31"/>
      <c r="AW4" s="31"/>
      <c r="AX4" s="32"/>
      <c r="AY4" s="33"/>
      <c r="AZ4" s="22"/>
      <c r="BA4" s="22"/>
      <c r="BB4" s="32"/>
      <c r="BC4" s="32"/>
      <c r="BF4" s="22"/>
      <c r="BG4" s="34"/>
      <c r="BH4" s="25"/>
      <c r="BI4" s="25"/>
      <c r="BJ4" s="22"/>
      <c r="BK4" s="22"/>
      <c r="BL4" s="22"/>
      <c r="BM4" s="35"/>
      <c r="BN4" s="32"/>
      <c r="BO4" s="36">
        <f>'[1]СВОД!'!EB697</f>
        <v>345039312.52130365</v>
      </c>
      <c r="BP4" s="37"/>
      <c r="BQ4" s="38"/>
      <c r="BR4" s="39"/>
      <c r="BS4" s="40"/>
      <c r="BT4" s="37"/>
      <c r="BU4" s="35"/>
      <c r="BV4" s="32"/>
      <c r="BW4" s="41"/>
      <c r="BX4" s="42"/>
      <c r="BY4" s="35"/>
      <c r="BZ4" s="42"/>
      <c r="CA4" s="35"/>
      <c r="CB4" s="43"/>
      <c r="CC4" s="35"/>
      <c r="CF4" s="25"/>
      <c r="CG4" s="34"/>
      <c r="CH4" s="44"/>
      <c r="CI4" s="35"/>
      <c r="CJ4" s="32"/>
      <c r="CK4" s="32"/>
      <c r="CL4" s="22"/>
      <c r="CM4" s="22"/>
      <c r="CN4" s="24"/>
      <c r="CO4" s="24"/>
      <c r="CP4" s="43"/>
      <c r="CQ4" s="35"/>
      <c r="CR4" s="25"/>
      <c r="CS4" s="35"/>
      <c r="CT4" s="45"/>
      <c r="CU4" s="35"/>
      <c r="CV4" s="46"/>
      <c r="CW4" s="47"/>
      <c r="CX4" s="24"/>
      <c r="CY4" s="48"/>
      <c r="CZ4" s="32"/>
      <c r="DA4" s="32"/>
      <c r="DB4" s="49"/>
      <c r="DC4" s="49"/>
      <c r="DD4" s="17"/>
      <c r="DE4" s="17"/>
      <c r="DF4" s="31"/>
      <c r="DG4" s="31"/>
      <c r="DH4" s="17"/>
      <c r="DI4" s="17"/>
      <c r="DJ4" s="17"/>
      <c r="DK4" s="48"/>
      <c r="DL4" s="50"/>
      <c r="DM4" s="50"/>
      <c r="DN4" s="51"/>
      <c r="DO4" s="52"/>
      <c r="DP4" s="52"/>
      <c r="DQ4" s="52"/>
    </row>
    <row r="5" spans="1:127" s="53" customFormat="1" ht="7.5" customHeight="1" x14ac:dyDescent="0.25">
      <c r="B5" s="54"/>
      <c r="C5" s="54"/>
      <c r="D5" s="55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22"/>
      <c r="Q5" s="22"/>
      <c r="R5" s="13"/>
      <c r="S5" s="13"/>
      <c r="T5" s="23"/>
      <c r="U5" s="23"/>
      <c r="V5" s="24"/>
      <c r="W5" s="24"/>
      <c r="X5" s="24"/>
      <c r="Y5" s="24"/>
      <c r="Z5" s="24"/>
      <c r="AA5" s="24"/>
      <c r="AB5" s="25"/>
      <c r="AC5" s="25"/>
      <c r="AD5" s="4"/>
      <c r="AE5" s="4"/>
      <c r="AF5" s="22"/>
      <c r="AG5" s="22"/>
      <c r="AH5" s="24"/>
      <c r="AI5" s="24"/>
      <c r="AJ5" s="25"/>
      <c r="AK5" s="25"/>
      <c r="AL5" s="25"/>
      <c r="AM5" s="25"/>
      <c r="AN5" s="26"/>
      <c r="AO5" s="27"/>
      <c r="AP5" s="25"/>
      <c r="AQ5" s="28"/>
      <c r="AR5" s="22"/>
      <c r="AS5" s="22"/>
      <c r="AT5" s="29"/>
      <c r="AU5" s="29"/>
      <c r="AV5" s="31"/>
      <c r="AW5" s="31"/>
      <c r="AX5" s="32"/>
      <c r="AY5" s="33"/>
      <c r="AZ5" s="22"/>
      <c r="BA5" s="22"/>
      <c r="BB5" s="32"/>
      <c r="BC5" s="32"/>
      <c r="BD5" s="4"/>
      <c r="BE5" s="4"/>
      <c r="BF5" s="22"/>
      <c r="BG5" s="34"/>
      <c r="BH5" s="25"/>
      <c r="BI5" s="25"/>
      <c r="BJ5" s="22"/>
      <c r="BK5" s="22"/>
      <c r="BL5" s="22"/>
      <c r="BM5" s="25"/>
      <c r="BN5" s="32"/>
      <c r="BO5" s="36"/>
      <c r="BP5" s="37"/>
      <c r="BQ5" s="37"/>
      <c r="BR5" s="39"/>
      <c r="BS5" s="40"/>
      <c r="BT5" s="37"/>
      <c r="BU5" s="37"/>
      <c r="BV5" s="32"/>
      <c r="BW5" s="41"/>
      <c r="BX5" s="42"/>
      <c r="BY5" s="42"/>
      <c r="BZ5" s="42"/>
      <c r="CA5" s="42"/>
      <c r="CB5" s="43"/>
      <c r="CC5" s="43"/>
      <c r="CD5" s="4"/>
      <c r="CE5" s="4"/>
      <c r="CF5" s="25"/>
      <c r="CG5" s="34"/>
      <c r="CH5" s="44"/>
      <c r="CI5" s="17"/>
      <c r="CJ5" s="32"/>
      <c r="CK5" s="32"/>
      <c r="CL5" s="22"/>
      <c r="CM5" s="22"/>
      <c r="CN5" s="24"/>
      <c r="CO5" s="24"/>
      <c r="CP5" s="43"/>
      <c r="CQ5" s="43"/>
      <c r="CR5" s="25"/>
      <c r="CS5" s="25"/>
      <c r="CT5" s="45"/>
      <c r="CU5" s="45"/>
      <c r="CV5" s="46"/>
      <c r="CW5" s="47"/>
      <c r="CX5" s="24"/>
      <c r="CY5" s="24"/>
      <c r="CZ5" s="32"/>
      <c r="DA5" s="32"/>
      <c r="DB5" s="49"/>
      <c r="DC5" s="49"/>
      <c r="DD5" s="17"/>
      <c r="DE5" s="17"/>
      <c r="DF5" s="31"/>
      <c r="DG5" s="31"/>
      <c r="DH5" s="17"/>
      <c r="DI5" s="17"/>
      <c r="DJ5" s="17"/>
      <c r="DK5" s="17"/>
      <c r="DL5" s="57"/>
      <c r="DM5" s="57"/>
      <c r="DN5" s="51"/>
      <c r="DO5" s="52"/>
      <c r="DP5" s="52"/>
      <c r="DQ5" s="52"/>
    </row>
    <row r="6" spans="1:127" s="76" customFormat="1" ht="58.5" customHeight="1" x14ac:dyDescent="0.25">
      <c r="A6" s="58" t="s">
        <v>1</v>
      </c>
      <c r="B6" s="59" t="s">
        <v>2</v>
      </c>
      <c r="C6" s="59" t="s">
        <v>3</v>
      </c>
      <c r="D6" s="60" t="s">
        <v>4</v>
      </c>
      <c r="E6" s="61" t="s">
        <v>5</v>
      </c>
      <c r="F6" s="62" t="s">
        <v>6</v>
      </c>
      <c r="G6" s="62" t="s">
        <v>7</v>
      </c>
      <c r="H6" s="63" t="s">
        <v>8</v>
      </c>
      <c r="I6" s="64"/>
      <c r="J6" s="62"/>
      <c r="K6" s="62" t="s">
        <v>9</v>
      </c>
      <c r="L6" s="65" t="s">
        <v>10</v>
      </c>
      <c r="M6" s="66"/>
      <c r="N6" s="66"/>
      <c r="O6" s="67"/>
      <c r="P6" s="68" t="s">
        <v>11</v>
      </c>
      <c r="Q6" s="69"/>
      <c r="R6" s="68" t="s">
        <v>12</v>
      </c>
      <c r="S6" s="69"/>
      <c r="T6" s="68" t="s">
        <v>13</v>
      </c>
      <c r="U6" s="69"/>
      <c r="V6" s="68" t="s">
        <v>14</v>
      </c>
      <c r="W6" s="69"/>
      <c r="X6" s="308" t="s">
        <v>15</v>
      </c>
      <c r="Y6" s="309"/>
      <c r="Z6" s="308" t="s">
        <v>16</v>
      </c>
      <c r="AA6" s="309"/>
      <c r="AB6" s="308" t="s">
        <v>17</v>
      </c>
      <c r="AC6" s="309"/>
      <c r="AD6" s="68" t="s">
        <v>18</v>
      </c>
      <c r="AE6" s="69"/>
      <c r="AF6" s="68" t="s">
        <v>19</v>
      </c>
      <c r="AG6" s="69"/>
      <c r="AH6" s="68" t="s">
        <v>20</v>
      </c>
      <c r="AI6" s="69"/>
      <c r="AJ6" s="70" t="s">
        <v>21</v>
      </c>
      <c r="AK6" s="71"/>
      <c r="AL6" s="68" t="s">
        <v>22</v>
      </c>
      <c r="AM6" s="69"/>
      <c r="AN6" s="68" t="s">
        <v>23</v>
      </c>
      <c r="AO6" s="69"/>
      <c r="AP6" s="72" t="s">
        <v>24</v>
      </c>
      <c r="AQ6" s="73"/>
      <c r="AR6" s="72" t="s">
        <v>25</v>
      </c>
      <c r="AS6" s="73"/>
      <c r="AT6" s="68" t="s">
        <v>26</v>
      </c>
      <c r="AU6" s="69"/>
      <c r="AV6" s="68" t="s">
        <v>27</v>
      </c>
      <c r="AW6" s="69"/>
      <c r="AX6" s="68" t="s">
        <v>28</v>
      </c>
      <c r="AY6" s="69"/>
      <c r="AZ6" s="68" t="s">
        <v>29</v>
      </c>
      <c r="BA6" s="69"/>
      <c r="BB6" s="72" t="s">
        <v>30</v>
      </c>
      <c r="BC6" s="73"/>
      <c r="BD6" s="68" t="s">
        <v>31</v>
      </c>
      <c r="BE6" s="69"/>
      <c r="BF6" s="68" t="s">
        <v>32</v>
      </c>
      <c r="BG6" s="69"/>
      <c r="BH6" s="68" t="s">
        <v>33</v>
      </c>
      <c r="BI6" s="69"/>
      <c r="BJ6" s="68" t="s">
        <v>34</v>
      </c>
      <c r="BK6" s="69"/>
      <c r="BL6" s="68" t="s">
        <v>35</v>
      </c>
      <c r="BM6" s="69"/>
      <c r="BN6" s="68" t="s">
        <v>36</v>
      </c>
      <c r="BO6" s="69"/>
      <c r="BP6" s="68" t="s">
        <v>37</v>
      </c>
      <c r="BQ6" s="69"/>
      <c r="BR6" s="68" t="s">
        <v>38</v>
      </c>
      <c r="BS6" s="69"/>
      <c r="BT6" s="68" t="s">
        <v>39</v>
      </c>
      <c r="BU6" s="69"/>
      <c r="BV6" s="68" t="s">
        <v>40</v>
      </c>
      <c r="BW6" s="69"/>
      <c r="BX6" s="68" t="s">
        <v>41</v>
      </c>
      <c r="BY6" s="69"/>
      <c r="BZ6" s="68" t="s">
        <v>42</v>
      </c>
      <c r="CA6" s="69"/>
      <c r="CB6" s="68" t="s">
        <v>43</v>
      </c>
      <c r="CC6" s="69"/>
      <c r="CD6" s="68" t="s">
        <v>44</v>
      </c>
      <c r="CE6" s="69"/>
      <c r="CF6" s="68" t="s">
        <v>45</v>
      </c>
      <c r="CG6" s="69"/>
      <c r="CH6" s="68" t="s">
        <v>46</v>
      </c>
      <c r="CI6" s="69"/>
      <c r="CJ6" s="68" t="s">
        <v>47</v>
      </c>
      <c r="CK6" s="69"/>
      <c r="CL6" s="68" t="s">
        <v>48</v>
      </c>
      <c r="CM6" s="69"/>
      <c r="CN6" s="68" t="s">
        <v>49</v>
      </c>
      <c r="CO6" s="69"/>
      <c r="CP6" s="68" t="s">
        <v>50</v>
      </c>
      <c r="CQ6" s="69"/>
      <c r="CR6" s="68" t="s">
        <v>51</v>
      </c>
      <c r="CS6" s="69"/>
      <c r="CT6" s="68" t="s">
        <v>52</v>
      </c>
      <c r="CU6" s="69"/>
      <c r="CV6" s="68" t="s">
        <v>53</v>
      </c>
      <c r="CW6" s="69"/>
      <c r="CX6" s="68" t="s">
        <v>54</v>
      </c>
      <c r="CY6" s="69"/>
      <c r="CZ6" s="68" t="s">
        <v>55</v>
      </c>
      <c r="DA6" s="69"/>
      <c r="DB6" s="68" t="s">
        <v>56</v>
      </c>
      <c r="DC6" s="69"/>
      <c r="DD6" s="68" t="s">
        <v>57</v>
      </c>
      <c r="DE6" s="69"/>
      <c r="DF6" s="68" t="s">
        <v>58</v>
      </c>
      <c r="DG6" s="69"/>
      <c r="DH6" s="68" t="s">
        <v>59</v>
      </c>
      <c r="DI6" s="69"/>
      <c r="DJ6" s="68" t="s">
        <v>60</v>
      </c>
      <c r="DK6" s="327"/>
      <c r="DL6" s="68" t="s">
        <v>61</v>
      </c>
      <c r="DM6" s="69"/>
      <c r="DN6" s="68" t="s">
        <v>62</v>
      </c>
      <c r="DO6" s="69"/>
      <c r="DP6" s="68" t="s">
        <v>63</v>
      </c>
      <c r="DQ6" s="69"/>
      <c r="DR6" s="74" t="s">
        <v>64</v>
      </c>
      <c r="DS6" s="74"/>
      <c r="DT6" s="74" t="s">
        <v>65</v>
      </c>
      <c r="DU6" s="74"/>
      <c r="DV6" s="75" t="s">
        <v>66</v>
      </c>
      <c r="DW6" s="75"/>
    </row>
    <row r="7" spans="1:127" s="94" customFormat="1" ht="16.5" customHeight="1" x14ac:dyDescent="0.25">
      <c r="A7" s="58"/>
      <c r="B7" s="59"/>
      <c r="C7" s="59"/>
      <c r="D7" s="77"/>
      <c r="E7" s="78"/>
      <c r="F7" s="79"/>
      <c r="G7" s="79"/>
      <c r="H7" s="80"/>
      <c r="I7" s="81"/>
      <c r="J7" s="79"/>
      <c r="K7" s="79"/>
      <c r="L7" s="82"/>
      <c r="M7" s="83"/>
      <c r="N7" s="83"/>
      <c r="O7" s="83"/>
      <c r="P7" s="84">
        <v>270005</v>
      </c>
      <c r="Q7" s="85"/>
      <c r="R7" s="84">
        <v>270004</v>
      </c>
      <c r="S7" s="85"/>
      <c r="T7" s="84">
        <v>270148</v>
      </c>
      <c r="U7" s="85"/>
      <c r="V7" s="84">
        <v>270007</v>
      </c>
      <c r="W7" s="85"/>
      <c r="X7" s="86"/>
      <c r="Y7" s="86"/>
      <c r="Z7" s="84"/>
      <c r="AA7" s="85"/>
      <c r="AB7" s="84">
        <v>270008</v>
      </c>
      <c r="AC7" s="85"/>
      <c r="AD7" s="84">
        <v>270149</v>
      </c>
      <c r="AE7" s="85"/>
      <c r="AF7" s="87">
        <v>270015</v>
      </c>
      <c r="AG7" s="85"/>
      <c r="AH7" s="84">
        <v>270042</v>
      </c>
      <c r="AI7" s="85"/>
      <c r="AJ7" s="88">
        <v>270123</v>
      </c>
      <c r="AK7" s="89"/>
      <c r="AL7" s="84">
        <v>270113</v>
      </c>
      <c r="AM7" s="85"/>
      <c r="AN7" s="84">
        <v>270016</v>
      </c>
      <c r="AO7" s="85"/>
      <c r="AP7" s="90">
        <v>270017</v>
      </c>
      <c r="AQ7" s="91"/>
      <c r="AR7" s="90">
        <v>270018</v>
      </c>
      <c r="AS7" s="91"/>
      <c r="AT7" s="84">
        <v>270053</v>
      </c>
      <c r="AU7" s="85"/>
      <c r="AV7" s="84">
        <v>270058</v>
      </c>
      <c r="AW7" s="85"/>
      <c r="AX7" s="84">
        <v>270057</v>
      </c>
      <c r="AY7" s="85"/>
      <c r="AZ7" s="84">
        <v>270115</v>
      </c>
      <c r="BA7" s="85"/>
      <c r="BB7" s="90">
        <v>270044</v>
      </c>
      <c r="BC7" s="91"/>
      <c r="BD7" s="84">
        <v>270116</v>
      </c>
      <c r="BE7" s="85"/>
      <c r="BF7" s="84">
        <v>270032</v>
      </c>
      <c r="BG7" s="85"/>
      <c r="BH7" s="84">
        <v>270033</v>
      </c>
      <c r="BI7" s="85"/>
      <c r="BJ7" s="84">
        <v>270034</v>
      </c>
      <c r="BK7" s="85"/>
      <c r="BL7" s="84">
        <v>270168</v>
      </c>
      <c r="BM7" s="85"/>
      <c r="BN7" s="84">
        <v>270050</v>
      </c>
      <c r="BO7" s="85"/>
      <c r="BP7" s="84">
        <v>270056</v>
      </c>
      <c r="BQ7" s="85"/>
      <c r="BR7" s="84">
        <v>270054</v>
      </c>
      <c r="BS7" s="85"/>
      <c r="BT7" s="84">
        <v>270068</v>
      </c>
      <c r="BU7" s="85"/>
      <c r="BV7" s="84">
        <v>270146</v>
      </c>
      <c r="BW7" s="85"/>
      <c r="BX7" s="84">
        <v>270088</v>
      </c>
      <c r="BY7" s="85"/>
      <c r="BZ7" s="84">
        <v>270091</v>
      </c>
      <c r="CA7" s="85"/>
      <c r="CB7" s="84">
        <v>270040</v>
      </c>
      <c r="CC7" s="85"/>
      <c r="CD7" s="84">
        <v>270041</v>
      </c>
      <c r="CE7" s="85"/>
      <c r="CF7" s="84">
        <v>270021</v>
      </c>
      <c r="CG7" s="85"/>
      <c r="CH7" s="84">
        <v>270170</v>
      </c>
      <c r="CI7" s="85"/>
      <c r="CJ7" s="84">
        <v>270123</v>
      </c>
      <c r="CK7" s="85"/>
      <c r="CL7" s="84">
        <v>270098</v>
      </c>
      <c r="CM7" s="85"/>
      <c r="CN7" s="84">
        <v>270134</v>
      </c>
      <c r="CO7" s="85"/>
      <c r="CP7" s="84">
        <v>270087</v>
      </c>
      <c r="CQ7" s="85"/>
      <c r="CR7" s="84">
        <v>270169</v>
      </c>
      <c r="CS7" s="85"/>
      <c r="CT7" s="84">
        <v>270155</v>
      </c>
      <c r="CU7" s="85"/>
      <c r="CV7" s="84">
        <v>270147</v>
      </c>
      <c r="CW7" s="85"/>
      <c r="CX7" s="84">
        <v>270156</v>
      </c>
      <c r="CY7" s="85"/>
      <c r="CZ7" s="84">
        <v>270051</v>
      </c>
      <c r="DA7" s="85"/>
      <c r="DB7" s="84">
        <v>270052</v>
      </c>
      <c r="DC7" s="85"/>
      <c r="DD7" s="84">
        <v>270060</v>
      </c>
      <c r="DE7" s="85"/>
      <c r="DF7" s="84">
        <v>270069</v>
      </c>
      <c r="DG7" s="85"/>
      <c r="DH7" s="84">
        <v>270095</v>
      </c>
      <c r="DI7" s="85"/>
      <c r="DJ7" s="84">
        <v>270171</v>
      </c>
      <c r="DK7" s="85"/>
      <c r="DL7" s="84">
        <v>270065</v>
      </c>
      <c r="DM7" s="85"/>
      <c r="DN7" s="84">
        <v>270089</v>
      </c>
      <c r="DO7" s="85"/>
      <c r="DP7" s="84">
        <v>270239</v>
      </c>
      <c r="DQ7" s="85"/>
      <c r="DR7" s="92"/>
      <c r="DS7" s="92"/>
      <c r="DT7" s="93"/>
      <c r="DU7" s="93"/>
      <c r="DV7" s="93"/>
      <c r="DW7" s="93"/>
    </row>
    <row r="8" spans="1:127" s="76" customFormat="1" ht="15.75" customHeight="1" x14ac:dyDescent="0.25">
      <c r="A8" s="58"/>
      <c r="B8" s="59"/>
      <c r="C8" s="59"/>
      <c r="D8" s="77"/>
      <c r="E8" s="78"/>
      <c r="F8" s="79"/>
      <c r="G8" s="79"/>
      <c r="H8" s="80"/>
      <c r="I8" s="81"/>
      <c r="J8" s="79"/>
      <c r="K8" s="79"/>
      <c r="L8" s="95" t="s">
        <v>67</v>
      </c>
      <c r="M8" s="96"/>
      <c r="N8" s="96"/>
      <c r="O8" s="96"/>
      <c r="P8" s="97" t="s">
        <v>68</v>
      </c>
      <c r="Q8" s="98"/>
      <c r="R8" s="97" t="s">
        <v>69</v>
      </c>
      <c r="S8" s="98"/>
      <c r="T8" s="97" t="s">
        <v>70</v>
      </c>
      <c r="U8" s="98"/>
      <c r="V8" s="97" t="s">
        <v>71</v>
      </c>
      <c r="W8" s="98"/>
      <c r="X8" s="99"/>
      <c r="Y8" s="99"/>
      <c r="Z8" s="97"/>
      <c r="AA8" s="100"/>
      <c r="AB8" s="97" t="s">
        <v>72</v>
      </c>
      <c r="AC8" s="98"/>
      <c r="AD8" s="97" t="s">
        <v>73</v>
      </c>
      <c r="AE8" s="100"/>
      <c r="AF8" s="97" t="s">
        <v>74</v>
      </c>
      <c r="AG8" s="100"/>
      <c r="AH8" s="97" t="s">
        <v>75</v>
      </c>
      <c r="AI8" s="98"/>
      <c r="AJ8" s="97" t="s">
        <v>76</v>
      </c>
      <c r="AK8" s="100"/>
      <c r="AL8" s="97" t="s">
        <v>77</v>
      </c>
      <c r="AM8" s="100"/>
      <c r="AN8" s="97" t="s">
        <v>78</v>
      </c>
      <c r="AO8" s="98"/>
      <c r="AP8" s="101" t="s">
        <v>79</v>
      </c>
      <c r="AQ8" s="102"/>
      <c r="AR8" s="103" t="s">
        <v>80</v>
      </c>
      <c r="AS8" s="104"/>
      <c r="AT8" s="103" t="s">
        <v>81</v>
      </c>
      <c r="AU8" s="105"/>
      <c r="AV8" s="97" t="s">
        <v>82</v>
      </c>
      <c r="AW8" s="98"/>
      <c r="AX8" s="97" t="s">
        <v>83</v>
      </c>
      <c r="AY8" s="98"/>
      <c r="AZ8" s="97" t="s">
        <v>84</v>
      </c>
      <c r="BA8" s="98"/>
      <c r="BB8" s="97" t="s">
        <v>85</v>
      </c>
      <c r="BC8" s="98"/>
      <c r="BD8" s="97" t="s">
        <v>86</v>
      </c>
      <c r="BE8" s="98"/>
      <c r="BF8" s="97" t="s">
        <v>87</v>
      </c>
      <c r="BG8" s="98"/>
      <c r="BH8" s="97" t="s">
        <v>88</v>
      </c>
      <c r="BI8" s="98"/>
      <c r="BJ8" s="97" t="s">
        <v>89</v>
      </c>
      <c r="BK8" s="98"/>
      <c r="BL8" s="97" t="s">
        <v>90</v>
      </c>
      <c r="BM8" s="98"/>
      <c r="BN8" s="97" t="s">
        <v>91</v>
      </c>
      <c r="BO8" s="98"/>
      <c r="BP8" s="97" t="s">
        <v>92</v>
      </c>
      <c r="BQ8" s="98"/>
      <c r="BR8" s="97" t="s">
        <v>93</v>
      </c>
      <c r="BS8" s="98"/>
      <c r="BT8" s="97" t="s">
        <v>94</v>
      </c>
      <c r="BU8" s="98"/>
      <c r="BV8" s="97" t="s">
        <v>95</v>
      </c>
      <c r="BW8" s="98"/>
      <c r="BX8" s="97" t="s">
        <v>96</v>
      </c>
      <c r="BY8" s="98"/>
      <c r="BZ8" s="97" t="s">
        <v>97</v>
      </c>
      <c r="CA8" s="98"/>
      <c r="CB8" s="97" t="s">
        <v>98</v>
      </c>
      <c r="CC8" s="98"/>
      <c r="CD8" s="97" t="s">
        <v>99</v>
      </c>
      <c r="CE8" s="98"/>
      <c r="CF8" s="97" t="s">
        <v>100</v>
      </c>
      <c r="CG8" s="98"/>
      <c r="CH8" s="97" t="s">
        <v>101</v>
      </c>
      <c r="CI8" s="98"/>
      <c r="CJ8" s="97" t="s">
        <v>76</v>
      </c>
      <c r="CK8" s="98"/>
      <c r="CL8" s="97" t="s">
        <v>102</v>
      </c>
      <c r="CM8" s="98"/>
      <c r="CN8" s="97" t="s">
        <v>103</v>
      </c>
      <c r="CO8" s="98"/>
      <c r="CP8" s="97" t="s">
        <v>104</v>
      </c>
      <c r="CQ8" s="98"/>
      <c r="CR8" s="97" t="s">
        <v>105</v>
      </c>
      <c r="CS8" s="98"/>
      <c r="CT8" s="97" t="s">
        <v>106</v>
      </c>
      <c r="CU8" s="98"/>
      <c r="CV8" s="97" t="s">
        <v>107</v>
      </c>
      <c r="CW8" s="98"/>
      <c r="CX8" s="97" t="s">
        <v>108</v>
      </c>
      <c r="CY8" s="98"/>
      <c r="CZ8" s="97" t="s">
        <v>109</v>
      </c>
      <c r="DA8" s="98"/>
      <c r="DB8" s="97" t="s">
        <v>110</v>
      </c>
      <c r="DC8" s="98"/>
      <c r="DD8" s="97" t="s">
        <v>111</v>
      </c>
      <c r="DE8" s="98"/>
      <c r="DF8" s="97" t="s">
        <v>112</v>
      </c>
      <c r="DG8" s="98"/>
      <c r="DH8" s="97" t="s">
        <v>113</v>
      </c>
      <c r="DI8" s="98"/>
      <c r="DJ8" s="97" t="s">
        <v>114</v>
      </c>
      <c r="DK8" s="100"/>
      <c r="DL8" s="97" t="s">
        <v>115</v>
      </c>
      <c r="DM8" s="98"/>
      <c r="DN8" s="97" t="s">
        <v>116</v>
      </c>
      <c r="DO8" s="100"/>
      <c r="DP8" s="97" t="s">
        <v>117</v>
      </c>
      <c r="DQ8" s="100"/>
      <c r="DR8" s="106"/>
      <c r="DS8" s="106"/>
      <c r="DT8" s="106"/>
      <c r="DU8" s="106"/>
      <c r="DV8" s="106"/>
      <c r="DW8" s="106"/>
    </row>
    <row r="9" spans="1:127" s="76" customFormat="1" ht="13.5" customHeight="1" thickBot="1" x14ac:dyDescent="0.3">
      <c r="A9" s="58"/>
      <c r="B9" s="59"/>
      <c r="C9" s="59"/>
      <c r="D9" s="77"/>
      <c r="E9" s="78"/>
      <c r="F9" s="79"/>
      <c r="G9" s="79"/>
      <c r="H9" s="80"/>
      <c r="I9" s="81"/>
      <c r="J9" s="79"/>
      <c r="K9" s="79"/>
      <c r="L9" s="107" t="s">
        <v>118</v>
      </c>
      <c r="M9" s="107" t="s">
        <v>119</v>
      </c>
      <c r="N9" s="107" t="s">
        <v>120</v>
      </c>
      <c r="O9" s="108" t="s">
        <v>121</v>
      </c>
      <c r="P9" s="109" t="s">
        <v>122</v>
      </c>
      <c r="Q9" s="109"/>
      <c r="R9" s="109" t="s">
        <v>122</v>
      </c>
      <c r="S9" s="109"/>
      <c r="T9" s="109" t="s">
        <v>122</v>
      </c>
      <c r="U9" s="109"/>
      <c r="V9" s="110" t="s">
        <v>123</v>
      </c>
      <c r="W9" s="111"/>
      <c r="X9" s="112"/>
      <c r="Y9" s="112"/>
      <c r="Z9" s="112"/>
      <c r="AA9" s="112"/>
      <c r="AB9" s="113" t="s">
        <v>122</v>
      </c>
      <c r="AC9" s="114"/>
      <c r="AD9" s="115"/>
      <c r="AE9" s="115"/>
      <c r="AF9" s="115"/>
      <c r="AG9" s="115"/>
      <c r="AH9" s="115"/>
      <c r="AI9" s="115"/>
      <c r="AJ9" s="116"/>
      <c r="AK9" s="117"/>
      <c r="AL9" s="115"/>
      <c r="AM9" s="115"/>
      <c r="AN9" s="115"/>
      <c r="AO9" s="115"/>
      <c r="AP9" s="118"/>
      <c r="AQ9" s="118"/>
      <c r="AR9" s="118"/>
      <c r="AS9" s="118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5"/>
      <c r="BG9" s="115"/>
      <c r="BH9" s="115"/>
      <c r="BI9" s="115"/>
      <c r="BJ9" s="115"/>
      <c r="BK9" s="115"/>
      <c r="BL9" s="115"/>
      <c r="BM9" s="115"/>
      <c r="BN9" s="115"/>
      <c r="BO9" s="115"/>
      <c r="BP9" s="115"/>
      <c r="BQ9" s="115"/>
      <c r="BR9" s="115"/>
      <c r="BS9" s="115"/>
      <c r="BT9" s="115"/>
      <c r="BU9" s="115"/>
      <c r="BV9" s="115"/>
      <c r="BW9" s="115"/>
      <c r="BX9" s="115"/>
      <c r="BY9" s="115"/>
      <c r="BZ9" s="115"/>
      <c r="CA9" s="115"/>
      <c r="CB9" s="110" t="s">
        <v>124</v>
      </c>
      <c r="CC9" s="111"/>
      <c r="CD9" s="110" t="s">
        <v>124</v>
      </c>
      <c r="CE9" s="111"/>
      <c r="CF9" s="110" t="s">
        <v>124</v>
      </c>
      <c r="CG9" s="111"/>
      <c r="CH9" s="110" t="s">
        <v>124</v>
      </c>
      <c r="CI9" s="111"/>
      <c r="CJ9" s="110" t="s">
        <v>125</v>
      </c>
      <c r="CK9" s="111"/>
      <c r="CL9" s="110" t="s">
        <v>125</v>
      </c>
      <c r="CM9" s="111"/>
      <c r="CN9" s="110" t="s">
        <v>125</v>
      </c>
      <c r="CO9" s="111"/>
      <c r="CP9" s="110" t="s">
        <v>124</v>
      </c>
      <c r="CQ9" s="111"/>
      <c r="CR9" s="110" t="s">
        <v>126</v>
      </c>
      <c r="CS9" s="111"/>
      <c r="CT9" s="110" t="s">
        <v>124</v>
      </c>
      <c r="CU9" s="111"/>
      <c r="CV9" s="110" t="s">
        <v>124</v>
      </c>
      <c r="CW9" s="119"/>
      <c r="CX9" s="110" t="s">
        <v>124</v>
      </c>
      <c r="CY9" s="111"/>
      <c r="CZ9" s="110" t="s">
        <v>127</v>
      </c>
      <c r="DA9" s="111"/>
      <c r="DB9" s="120" t="s">
        <v>126</v>
      </c>
      <c r="DC9" s="115"/>
      <c r="DD9" s="110" t="s">
        <v>124</v>
      </c>
      <c r="DE9" s="111"/>
      <c r="DF9" s="110" t="s">
        <v>124</v>
      </c>
      <c r="DG9" s="111"/>
      <c r="DH9" s="110" t="s">
        <v>124</v>
      </c>
      <c r="DI9" s="111"/>
      <c r="DJ9" s="110" t="s">
        <v>124</v>
      </c>
      <c r="DK9" s="119"/>
      <c r="DL9" s="110" t="s">
        <v>128</v>
      </c>
      <c r="DM9" s="111"/>
      <c r="DN9" s="110" t="s">
        <v>128</v>
      </c>
      <c r="DO9" s="111"/>
      <c r="DP9" s="110" t="s">
        <v>122</v>
      </c>
      <c r="DQ9" s="111"/>
      <c r="DR9" s="106"/>
      <c r="DS9" s="106"/>
      <c r="DT9" s="106"/>
      <c r="DU9" s="106"/>
      <c r="DV9" s="106"/>
      <c r="DW9" s="106"/>
    </row>
    <row r="10" spans="1:127" s="76" customFormat="1" ht="15.6" hidden="1" customHeight="1" x14ac:dyDescent="0.25">
      <c r="A10" s="58"/>
      <c r="B10" s="59"/>
      <c r="C10" s="59"/>
      <c r="D10" s="77"/>
      <c r="E10" s="78"/>
      <c r="F10" s="79"/>
      <c r="G10" s="79"/>
      <c r="H10" s="80"/>
      <c r="I10" s="81"/>
      <c r="J10" s="79"/>
      <c r="K10" s="79"/>
      <c r="L10" s="121"/>
      <c r="M10" s="121"/>
      <c r="N10" s="121"/>
      <c r="O10" s="122"/>
      <c r="P10" s="97"/>
      <c r="Q10" s="100"/>
      <c r="R10" s="97"/>
      <c r="S10" s="100"/>
      <c r="T10" s="97"/>
      <c r="U10" s="100"/>
      <c r="V10" s="97"/>
      <c r="W10" s="100"/>
      <c r="X10" s="123"/>
      <c r="Y10" s="123"/>
      <c r="Z10" s="123"/>
      <c r="AA10" s="123"/>
      <c r="AB10" s="97"/>
      <c r="AC10" s="100"/>
      <c r="AD10" s="97"/>
      <c r="AE10" s="100"/>
      <c r="AF10" s="97"/>
      <c r="AG10" s="100"/>
      <c r="AH10" s="97"/>
      <c r="AI10" s="100"/>
      <c r="AJ10" s="97"/>
      <c r="AK10" s="100"/>
      <c r="AL10" s="97"/>
      <c r="AM10" s="100"/>
      <c r="AN10" s="97"/>
      <c r="AO10" s="100"/>
      <c r="AP10" s="97"/>
      <c r="AQ10" s="100"/>
      <c r="AR10" s="97"/>
      <c r="AS10" s="100"/>
      <c r="AT10" s="97"/>
      <c r="AU10" s="100"/>
      <c r="AV10" s="97"/>
      <c r="AW10" s="100"/>
      <c r="AX10" s="97"/>
      <c r="AY10" s="100"/>
      <c r="AZ10" s="97"/>
      <c r="BA10" s="100"/>
      <c r="BB10" s="97"/>
      <c r="BC10" s="100"/>
      <c r="BD10" s="97"/>
      <c r="BE10" s="100"/>
      <c r="BF10" s="97"/>
      <c r="BG10" s="100"/>
      <c r="BH10" s="97"/>
      <c r="BI10" s="100"/>
      <c r="BJ10" s="97"/>
      <c r="BK10" s="100"/>
      <c r="BL10" s="97"/>
      <c r="BM10" s="100"/>
      <c r="BN10" s="97"/>
      <c r="BO10" s="100"/>
      <c r="BP10" s="97"/>
      <c r="BQ10" s="100"/>
      <c r="BR10" s="97"/>
      <c r="BS10" s="100"/>
      <c r="BT10" s="97"/>
      <c r="BU10" s="100"/>
      <c r="BV10" s="97"/>
      <c r="BW10" s="100"/>
      <c r="BX10" s="97"/>
      <c r="BY10" s="100"/>
      <c r="BZ10" s="97"/>
      <c r="CA10" s="100"/>
      <c r="CB10" s="97"/>
      <c r="CC10" s="100"/>
      <c r="CD10" s="97"/>
      <c r="CE10" s="100"/>
      <c r="CF10" s="97"/>
      <c r="CG10" s="100"/>
      <c r="CH10" s="97"/>
      <c r="CI10" s="100"/>
      <c r="CJ10" s="97"/>
      <c r="CK10" s="100"/>
      <c r="CL10" s="97"/>
      <c r="CM10" s="100"/>
      <c r="CN10" s="97"/>
      <c r="CO10" s="100"/>
      <c r="CP10" s="97"/>
      <c r="CQ10" s="100"/>
      <c r="CR10" s="97"/>
      <c r="CS10" s="100"/>
      <c r="CT10" s="97"/>
      <c r="CU10" s="100"/>
      <c r="CV10" s="97"/>
      <c r="CW10" s="100"/>
      <c r="CX10" s="97"/>
      <c r="CY10" s="100"/>
      <c r="CZ10" s="97"/>
      <c r="DA10" s="100"/>
      <c r="DB10" s="97"/>
      <c r="DC10" s="100"/>
      <c r="DD10" s="97"/>
      <c r="DE10" s="100"/>
      <c r="DF10" s="97"/>
      <c r="DG10" s="100"/>
      <c r="DH10" s="97"/>
      <c r="DI10" s="100"/>
      <c r="DJ10" s="97"/>
      <c r="DK10" s="100"/>
      <c r="DL10" s="97"/>
      <c r="DM10" s="100"/>
      <c r="DN10" s="97"/>
      <c r="DO10" s="100"/>
      <c r="DP10" s="97"/>
      <c r="DQ10" s="100"/>
      <c r="DR10" s="99"/>
      <c r="DS10" s="99"/>
      <c r="DT10" s="106"/>
      <c r="DU10" s="106"/>
      <c r="DV10" s="106"/>
      <c r="DW10" s="106"/>
    </row>
    <row r="11" spans="1:127" s="135" customFormat="1" ht="45" customHeight="1" x14ac:dyDescent="0.2">
      <c r="A11" s="58"/>
      <c r="B11" s="124"/>
      <c r="C11" s="124"/>
      <c r="D11" s="125"/>
      <c r="E11" s="126"/>
      <c r="F11" s="127"/>
      <c r="G11" s="127"/>
      <c r="H11" s="128"/>
      <c r="I11" s="129"/>
      <c r="J11" s="127"/>
      <c r="K11" s="127"/>
      <c r="L11" s="130"/>
      <c r="M11" s="130"/>
      <c r="N11" s="130"/>
      <c r="O11" s="131"/>
      <c r="P11" s="132" t="s">
        <v>129</v>
      </c>
      <c r="Q11" s="133" t="s">
        <v>130</v>
      </c>
      <c r="R11" s="133" t="s">
        <v>129</v>
      </c>
      <c r="S11" s="133" t="s">
        <v>130</v>
      </c>
      <c r="T11" s="133" t="s">
        <v>129</v>
      </c>
      <c r="U11" s="133" t="s">
        <v>130</v>
      </c>
      <c r="V11" s="132" t="s">
        <v>129</v>
      </c>
      <c r="W11" s="133" t="s">
        <v>130</v>
      </c>
      <c r="X11" s="133" t="s">
        <v>129</v>
      </c>
      <c r="Y11" s="133" t="s">
        <v>130</v>
      </c>
      <c r="Z11" s="133" t="s">
        <v>129</v>
      </c>
      <c r="AA11" s="133" t="s">
        <v>130</v>
      </c>
      <c r="AB11" s="132" t="s">
        <v>129</v>
      </c>
      <c r="AC11" s="133" t="s">
        <v>130</v>
      </c>
      <c r="AD11" s="132" t="s">
        <v>129</v>
      </c>
      <c r="AE11" s="133" t="s">
        <v>130</v>
      </c>
      <c r="AF11" s="132" t="s">
        <v>129</v>
      </c>
      <c r="AG11" s="133" t="s">
        <v>130</v>
      </c>
      <c r="AH11" s="132" t="s">
        <v>129</v>
      </c>
      <c r="AI11" s="133" t="s">
        <v>130</v>
      </c>
      <c r="AJ11" s="132" t="s">
        <v>129</v>
      </c>
      <c r="AK11" s="133" t="s">
        <v>130</v>
      </c>
      <c r="AL11" s="132" t="s">
        <v>129</v>
      </c>
      <c r="AM11" s="133" t="s">
        <v>130</v>
      </c>
      <c r="AN11" s="132" t="s">
        <v>129</v>
      </c>
      <c r="AO11" s="133" t="s">
        <v>130</v>
      </c>
      <c r="AP11" s="132" t="s">
        <v>129</v>
      </c>
      <c r="AQ11" s="133" t="s">
        <v>130</v>
      </c>
      <c r="AR11" s="132" t="s">
        <v>129</v>
      </c>
      <c r="AS11" s="133" t="s">
        <v>130</v>
      </c>
      <c r="AT11" s="132" t="s">
        <v>129</v>
      </c>
      <c r="AU11" s="133" t="s">
        <v>130</v>
      </c>
      <c r="AV11" s="132" t="s">
        <v>129</v>
      </c>
      <c r="AW11" s="133" t="s">
        <v>130</v>
      </c>
      <c r="AX11" s="132" t="s">
        <v>129</v>
      </c>
      <c r="AY11" s="133" t="s">
        <v>130</v>
      </c>
      <c r="AZ11" s="133" t="s">
        <v>131</v>
      </c>
      <c r="BA11" s="133" t="s">
        <v>130</v>
      </c>
      <c r="BB11" s="133" t="s">
        <v>131</v>
      </c>
      <c r="BC11" s="133" t="s">
        <v>130</v>
      </c>
      <c r="BD11" s="132" t="s">
        <v>129</v>
      </c>
      <c r="BE11" s="133" t="s">
        <v>130</v>
      </c>
      <c r="BF11" s="132" t="s">
        <v>129</v>
      </c>
      <c r="BG11" s="133" t="s">
        <v>130</v>
      </c>
      <c r="BH11" s="132" t="s">
        <v>129</v>
      </c>
      <c r="BI11" s="133" t="s">
        <v>130</v>
      </c>
      <c r="BJ11" s="132" t="s">
        <v>129</v>
      </c>
      <c r="BK11" s="133" t="s">
        <v>130</v>
      </c>
      <c r="BL11" s="132" t="s">
        <v>129</v>
      </c>
      <c r="BM11" s="133" t="s">
        <v>130</v>
      </c>
      <c r="BN11" s="132" t="s">
        <v>129</v>
      </c>
      <c r="BO11" s="133" t="s">
        <v>130</v>
      </c>
      <c r="BP11" s="132" t="s">
        <v>129</v>
      </c>
      <c r="BQ11" s="133" t="s">
        <v>130</v>
      </c>
      <c r="BR11" s="132" t="s">
        <v>129</v>
      </c>
      <c r="BS11" s="133" t="s">
        <v>130</v>
      </c>
      <c r="BT11" s="132" t="s">
        <v>129</v>
      </c>
      <c r="BU11" s="133" t="s">
        <v>130</v>
      </c>
      <c r="BV11" s="132" t="s">
        <v>129</v>
      </c>
      <c r="BW11" s="133" t="s">
        <v>130</v>
      </c>
      <c r="BX11" s="132" t="s">
        <v>129</v>
      </c>
      <c r="BY11" s="133" t="s">
        <v>130</v>
      </c>
      <c r="BZ11" s="132" t="s">
        <v>129</v>
      </c>
      <c r="CA11" s="134" t="s">
        <v>130</v>
      </c>
      <c r="CB11" s="132" t="s">
        <v>129</v>
      </c>
      <c r="CC11" s="133" t="s">
        <v>130</v>
      </c>
      <c r="CD11" s="132" t="s">
        <v>129</v>
      </c>
      <c r="CE11" s="133" t="s">
        <v>130</v>
      </c>
      <c r="CF11" s="132" t="s">
        <v>129</v>
      </c>
      <c r="CG11" s="133" t="s">
        <v>130</v>
      </c>
      <c r="CH11" s="132" t="s">
        <v>129</v>
      </c>
      <c r="CI11" s="133" t="s">
        <v>130</v>
      </c>
      <c r="CJ11" s="133" t="s">
        <v>131</v>
      </c>
      <c r="CK11" s="133" t="s">
        <v>130</v>
      </c>
      <c r="CL11" s="132" t="s">
        <v>129</v>
      </c>
      <c r="CM11" s="133" t="s">
        <v>130</v>
      </c>
      <c r="CN11" s="132" t="s">
        <v>129</v>
      </c>
      <c r="CO11" s="133" t="s">
        <v>130</v>
      </c>
      <c r="CP11" s="132" t="s">
        <v>129</v>
      </c>
      <c r="CQ11" s="133" t="s">
        <v>130</v>
      </c>
      <c r="CR11" s="132" t="s">
        <v>129</v>
      </c>
      <c r="CS11" s="133" t="s">
        <v>130</v>
      </c>
      <c r="CT11" s="132" t="s">
        <v>129</v>
      </c>
      <c r="CU11" s="133" t="s">
        <v>130</v>
      </c>
      <c r="CV11" s="132" t="s">
        <v>129</v>
      </c>
      <c r="CW11" s="133" t="s">
        <v>130</v>
      </c>
      <c r="CX11" s="132" t="s">
        <v>129</v>
      </c>
      <c r="CY11" s="133" t="s">
        <v>130</v>
      </c>
      <c r="CZ11" s="132" t="s">
        <v>129</v>
      </c>
      <c r="DA11" s="133" t="s">
        <v>130</v>
      </c>
      <c r="DB11" s="132" t="s">
        <v>129</v>
      </c>
      <c r="DC11" s="133" t="s">
        <v>130</v>
      </c>
      <c r="DD11" s="133" t="s">
        <v>131</v>
      </c>
      <c r="DE11" s="133" t="s">
        <v>130</v>
      </c>
      <c r="DF11" s="133" t="s">
        <v>131</v>
      </c>
      <c r="DG11" s="133" t="s">
        <v>130</v>
      </c>
      <c r="DH11" s="132" t="s">
        <v>129</v>
      </c>
      <c r="DI11" s="133" t="s">
        <v>130</v>
      </c>
      <c r="DJ11" s="132" t="s">
        <v>129</v>
      </c>
      <c r="DK11" s="133" t="s">
        <v>130</v>
      </c>
      <c r="DL11" s="132" t="s">
        <v>129</v>
      </c>
      <c r="DM11" s="133" t="s">
        <v>130</v>
      </c>
      <c r="DN11" s="132" t="s">
        <v>129</v>
      </c>
      <c r="DO11" s="133" t="s">
        <v>130</v>
      </c>
      <c r="DP11" s="132" t="s">
        <v>129</v>
      </c>
      <c r="DQ11" s="133" t="s">
        <v>130</v>
      </c>
      <c r="DR11" s="132" t="s">
        <v>129</v>
      </c>
      <c r="DS11" s="133" t="s">
        <v>130</v>
      </c>
      <c r="DT11" s="132" t="s">
        <v>129</v>
      </c>
      <c r="DU11" s="133" t="s">
        <v>130</v>
      </c>
      <c r="DV11" s="132" t="s">
        <v>129</v>
      </c>
      <c r="DW11" s="133" t="s">
        <v>130</v>
      </c>
    </row>
    <row r="12" spans="1:127" s="76" customFormat="1" ht="20.25" customHeight="1" x14ac:dyDescent="0.25">
      <c r="A12" s="106"/>
      <c r="B12" s="136"/>
      <c r="C12" s="136"/>
      <c r="D12" s="137" t="s">
        <v>132</v>
      </c>
      <c r="E12" s="138"/>
      <c r="F12" s="139"/>
      <c r="G12" s="139"/>
      <c r="H12" s="140"/>
      <c r="I12" s="140"/>
      <c r="J12" s="140"/>
      <c r="K12" s="140"/>
      <c r="L12" s="141"/>
      <c r="M12" s="141"/>
      <c r="N12" s="141"/>
      <c r="O12" s="142"/>
      <c r="P12" s="143"/>
      <c r="Q12" s="144">
        <v>1.1000000000000001</v>
      </c>
      <c r="R12" s="144"/>
      <c r="S12" s="144">
        <v>1.1000000000000001</v>
      </c>
      <c r="T12" s="144"/>
      <c r="U12" s="144">
        <v>1.25</v>
      </c>
      <c r="V12" s="144"/>
      <c r="W12" s="144">
        <v>1.25</v>
      </c>
      <c r="X12" s="144"/>
      <c r="Y12" s="144">
        <v>1.4</v>
      </c>
      <c r="Z12" s="144"/>
      <c r="AA12" s="144">
        <v>1.4</v>
      </c>
      <c r="AB12" s="144"/>
      <c r="AC12" s="144">
        <v>1.4</v>
      </c>
      <c r="AD12" s="144"/>
      <c r="AE12" s="144">
        <v>1.1000000000000001</v>
      </c>
      <c r="AF12" s="144"/>
      <c r="AG12" s="144">
        <v>1.1000000000000001</v>
      </c>
      <c r="AH12" s="144"/>
      <c r="AI12" s="144">
        <v>1.1000000000000001</v>
      </c>
      <c r="AJ12" s="144"/>
      <c r="AK12" s="144">
        <v>1.4</v>
      </c>
      <c r="AL12" s="144"/>
      <c r="AM12" s="144">
        <v>1.1000000000000001</v>
      </c>
      <c r="AN12" s="144"/>
      <c r="AO12" s="144">
        <v>1.1000000000000001</v>
      </c>
      <c r="AP12" s="145"/>
      <c r="AQ12" s="144">
        <v>1.1000000000000001</v>
      </c>
      <c r="AR12" s="145"/>
      <c r="AS12" s="144">
        <v>1.1000000000000001</v>
      </c>
      <c r="AT12" s="144"/>
      <c r="AU12" s="144">
        <v>1.1000000000000001</v>
      </c>
      <c r="AV12" s="144"/>
      <c r="AW12" s="144">
        <v>1.4</v>
      </c>
      <c r="AX12" s="144"/>
      <c r="AY12" s="144">
        <v>1.1000000000000001</v>
      </c>
      <c r="AZ12" s="144"/>
      <c r="BA12" s="144">
        <v>1</v>
      </c>
      <c r="BB12" s="144"/>
      <c r="BC12" s="144">
        <v>0.9</v>
      </c>
      <c r="BD12" s="144"/>
      <c r="BE12" s="144">
        <v>0.9</v>
      </c>
      <c r="BF12" s="144"/>
      <c r="BG12" s="144">
        <v>1</v>
      </c>
      <c r="BH12" s="144"/>
      <c r="BI12" s="144">
        <v>1</v>
      </c>
      <c r="BJ12" s="144"/>
      <c r="BK12" s="144">
        <v>1</v>
      </c>
      <c r="BL12" s="144"/>
      <c r="BM12" s="144">
        <v>1.2</v>
      </c>
      <c r="BN12" s="144"/>
      <c r="BO12" s="144">
        <v>1.1000000000000001</v>
      </c>
      <c r="BP12" s="144"/>
      <c r="BQ12" s="144">
        <v>1</v>
      </c>
      <c r="BR12" s="144"/>
      <c r="BS12" s="144">
        <v>1</v>
      </c>
      <c r="BT12" s="144"/>
      <c r="BU12" s="144">
        <v>1</v>
      </c>
      <c r="BV12" s="144"/>
      <c r="BW12" s="144">
        <v>0.9</v>
      </c>
      <c r="BX12" s="144"/>
      <c r="BY12" s="144">
        <v>1.2</v>
      </c>
      <c r="BZ12" s="144"/>
      <c r="CA12" s="146">
        <v>1.2</v>
      </c>
      <c r="CB12" s="144"/>
      <c r="CC12" s="144">
        <v>1</v>
      </c>
      <c r="CD12" s="144"/>
      <c r="CE12" s="144">
        <v>1</v>
      </c>
      <c r="CF12" s="144"/>
      <c r="CG12" s="144">
        <v>1</v>
      </c>
      <c r="CH12" s="144"/>
      <c r="CI12" s="144">
        <v>1</v>
      </c>
      <c r="CJ12" s="144"/>
      <c r="CK12" s="144">
        <v>0.7</v>
      </c>
      <c r="CL12" s="144"/>
      <c r="CM12" s="144">
        <v>0.8</v>
      </c>
      <c r="CN12" s="144"/>
      <c r="CO12" s="144">
        <v>0.8</v>
      </c>
      <c r="CP12" s="144"/>
      <c r="CQ12" s="144">
        <v>1</v>
      </c>
      <c r="CR12" s="144"/>
      <c r="CS12" s="144">
        <v>1</v>
      </c>
      <c r="CT12" s="144"/>
      <c r="CU12" s="144">
        <v>1</v>
      </c>
      <c r="CV12" s="144"/>
      <c r="CW12" s="144">
        <v>1</v>
      </c>
      <c r="CX12" s="144"/>
      <c r="CY12" s="144">
        <v>1</v>
      </c>
      <c r="CZ12" s="144"/>
      <c r="DA12" s="144">
        <v>1</v>
      </c>
      <c r="DB12" s="144"/>
      <c r="DC12" s="144">
        <v>0.9</v>
      </c>
      <c r="DD12" s="144"/>
      <c r="DE12" s="144">
        <v>0.9</v>
      </c>
      <c r="DF12" s="144"/>
      <c r="DG12" s="144">
        <v>1</v>
      </c>
      <c r="DH12" s="144"/>
      <c r="DI12" s="144">
        <v>1</v>
      </c>
      <c r="DJ12" s="144"/>
      <c r="DK12" s="144">
        <v>1</v>
      </c>
      <c r="DL12" s="144"/>
      <c r="DM12" s="144">
        <v>1</v>
      </c>
      <c r="DN12" s="144"/>
      <c r="DO12" s="146">
        <v>1</v>
      </c>
      <c r="DP12" s="146"/>
      <c r="DQ12" s="146">
        <v>1.1000000000000001</v>
      </c>
      <c r="DR12" s="106"/>
      <c r="DS12" s="106"/>
      <c r="DT12" s="106"/>
      <c r="DU12" s="106"/>
      <c r="DV12" s="106"/>
      <c r="DW12" s="106"/>
    </row>
    <row r="13" spans="1:127" s="76" customFormat="1" ht="20.25" customHeight="1" x14ac:dyDescent="0.25">
      <c r="A13" s="106"/>
      <c r="B13" s="136"/>
      <c r="C13" s="136"/>
      <c r="D13" s="137" t="s">
        <v>133</v>
      </c>
      <c r="E13" s="138"/>
      <c r="F13" s="139"/>
      <c r="G13" s="139"/>
      <c r="H13" s="140"/>
      <c r="I13" s="140"/>
      <c r="J13" s="140"/>
      <c r="K13" s="140"/>
      <c r="L13" s="141"/>
      <c r="M13" s="141"/>
      <c r="N13" s="141"/>
      <c r="O13" s="142"/>
      <c r="P13" s="147"/>
      <c r="Q13" s="148"/>
      <c r="R13" s="148"/>
      <c r="S13" s="148"/>
      <c r="T13" s="148"/>
      <c r="U13" s="148"/>
      <c r="V13" s="148"/>
      <c r="W13" s="148">
        <v>1.35</v>
      </c>
      <c r="X13" s="148"/>
      <c r="Y13" s="148"/>
      <c r="Z13" s="148"/>
      <c r="AA13" s="148"/>
      <c r="AB13" s="148"/>
      <c r="AC13" s="148"/>
      <c r="AD13" s="148"/>
      <c r="AE13" s="148"/>
      <c r="AF13" s="148"/>
      <c r="AG13" s="148">
        <v>1.1000000000000001</v>
      </c>
      <c r="AH13" s="148"/>
      <c r="AI13" s="148"/>
      <c r="AJ13" s="148"/>
      <c r="AK13" s="148"/>
      <c r="AL13" s="148"/>
      <c r="AM13" s="148">
        <v>1.1000000000000001</v>
      </c>
      <c r="AN13" s="148"/>
      <c r="AO13" s="148"/>
      <c r="AP13" s="149"/>
      <c r="AQ13" s="149"/>
      <c r="AR13" s="149"/>
      <c r="AS13" s="144">
        <v>1.35</v>
      </c>
      <c r="AT13" s="148"/>
      <c r="AU13" s="148">
        <v>1.25</v>
      </c>
      <c r="AV13" s="148"/>
      <c r="AW13" s="148"/>
      <c r="AX13" s="148"/>
      <c r="AY13" s="148"/>
      <c r="AZ13" s="150"/>
      <c r="BA13" s="148"/>
      <c r="BB13" s="148"/>
      <c r="BC13" s="148"/>
      <c r="BD13" s="151"/>
      <c r="BE13" s="148"/>
      <c r="BF13" s="148"/>
      <c r="BG13" s="148"/>
      <c r="BH13" s="148"/>
      <c r="BI13" s="148"/>
      <c r="BJ13" s="148"/>
      <c r="BK13" s="148"/>
      <c r="BL13" s="148"/>
      <c r="BM13" s="148"/>
      <c r="BN13" s="148"/>
      <c r="BO13" s="148"/>
      <c r="BP13" s="151"/>
      <c r="BQ13" s="148"/>
      <c r="BR13" s="148"/>
      <c r="BS13" s="148"/>
      <c r="BT13" s="148"/>
      <c r="BU13" s="148">
        <v>1.2</v>
      </c>
      <c r="BV13" s="148"/>
      <c r="BW13" s="148"/>
      <c r="BX13" s="148"/>
      <c r="BY13" s="148"/>
      <c r="BZ13" s="148"/>
      <c r="CA13" s="151"/>
      <c r="CB13" s="151"/>
      <c r="CC13" s="148"/>
      <c r="CD13" s="151"/>
      <c r="CE13" s="148"/>
      <c r="CF13" s="148"/>
      <c r="CG13" s="148"/>
      <c r="CH13" s="148"/>
      <c r="CI13" s="148"/>
      <c r="CJ13" s="151"/>
      <c r="CK13" s="148"/>
      <c r="CL13" s="151"/>
      <c r="CM13" s="148"/>
      <c r="CN13" s="151"/>
      <c r="CO13" s="148"/>
      <c r="CP13" s="151"/>
      <c r="CQ13" s="148"/>
      <c r="CR13" s="151"/>
      <c r="CS13" s="148">
        <v>1.2</v>
      </c>
      <c r="CT13" s="148"/>
      <c r="CU13" s="148"/>
      <c r="CV13" s="148"/>
      <c r="CW13" s="148"/>
      <c r="CX13" s="148"/>
      <c r="CY13" s="148"/>
      <c r="CZ13" s="152"/>
      <c r="DA13" s="148"/>
      <c r="DB13" s="151"/>
      <c r="DC13" s="148"/>
      <c r="DD13" s="151"/>
      <c r="DE13" s="151"/>
      <c r="DF13" s="148"/>
      <c r="DG13" s="148"/>
      <c r="DH13" s="152"/>
      <c r="DI13" s="148"/>
      <c r="DJ13" s="151"/>
      <c r="DK13" s="148"/>
      <c r="DL13" s="151"/>
      <c r="DM13" s="148"/>
      <c r="DN13" s="151"/>
      <c r="DO13" s="151"/>
      <c r="DP13" s="151"/>
      <c r="DQ13" s="151"/>
      <c r="DR13" s="106"/>
      <c r="DS13" s="106"/>
      <c r="DT13" s="106"/>
      <c r="DU13" s="106"/>
      <c r="DV13" s="106"/>
      <c r="DW13" s="106"/>
    </row>
    <row r="14" spans="1:127" s="76" customFormat="1" ht="20.25" customHeight="1" x14ac:dyDescent="0.25">
      <c r="A14" s="106"/>
      <c r="B14" s="136"/>
      <c r="C14" s="136"/>
      <c r="D14" s="137" t="s">
        <v>134</v>
      </c>
      <c r="E14" s="138"/>
      <c r="F14" s="139"/>
      <c r="G14" s="139"/>
      <c r="H14" s="140"/>
      <c r="I14" s="140"/>
      <c r="J14" s="140"/>
      <c r="K14" s="140"/>
      <c r="L14" s="141"/>
      <c r="M14" s="141"/>
      <c r="N14" s="141"/>
      <c r="O14" s="142"/>
      <c r="P14" s="147"/>
      <c r="Q14" s="148"/>
      <c r="R14" s="148"/>
      <c r="S14" s="148"/>
      <c r="T14" s="148"/>
      <c r="U14" s="148">
        <v>1.4</v>
      </c>
      <c r="V14" s="148"/>
      <c r="W14" s="148">
        <v>1.4</v>
      </c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9"/>
      <c r="AQ14" s="149"/>
      <c r="AR14" s="149"/>
      <c r="AS14" s="144">
        <v>1.4</v>
      </c>
      <c r="AT14" s="148"/>
      <c r="AU14" s="148">
        <v>1.4</v>
      </c>
      <c r="AV14" s="148"/>
      <c r="AW14" s="148"/>
      <c r="AX14" s="148"/>
      <c r="AY14" s="148"/>
      <c r="AZ14" s="150"/>
      <c r="BA14" s="148"/>
      <c r="BB14" s="148"/>
      <c r="BC14" s="148"/>
      <c r="BD14" s="151"/>
      <c r="BE14" s="148"/>
      <c r="BF14" s="148"/>
      <c r="BG14" s="148"/>
      <c r="BH14" s="148"/>
      <c r="BI14" s="148"/>
      <c r="BJ14" s="148"/>
      <c r="BK14" s="148">
        <v>1.2</v>
      </c>
      <c r="BL14" s="148"/>
      <c r="BM14" s="148"/>
      <c r="BN14" s="148"/>
      <c r="BO14" s="148"/>
      <c r="BP14" s="151"/>
      <c r="BQ14" s="148">
        <v>1</v>
      </c>
      <c r="BR14" s="148"/>
      <c r="BS14" s="148"/>
      <c r="BT14" s="148"/>
      <c r="BU14" s="148"/>
      <c r="BV14" s="148"/>
      <c r="BW14" s="148"/>
      <c r="BX14" s="148"/>
      <c r="BY14" s="148"/>
      <c r="BZ14" s="148"/>
      <c r="CA14" s="151"/>
      <c r="CB14" s="151"/>
      <c r="CC14" s="148"/>
      <c r="CD14" s="151"/>
      <c r="CE14" s="148"/>
      <c r="CF14" s="148"/>
      <c r="CG14" s="148"/>
      <c r="CH14" s="148"/>
      <c r="CI14" s="148"/>
      <c r="CJ14" s="151"/>
      <c r="CK14" s="148"/>
      <c r="CL14" s="151"/>
      <c r="CM14" s="148"/>
      <c r="CN14" s="151"/>
      <c r="CO14" s="148"/>
      <c r="CP14" s="151"/>
      <c r="CQ14" s="148"/>
      <c r="CR14" s="151"/>
      <c r="CS14" s="148"/>
      <c r="CT14" s="148"/>
      <c r="CU14" s="148"/>
      <c r="CV14" s="148"/>
      <c r="CW14" s="148"/>
      <c r="CX14" s="148"/>
      <c r="CY14" s="148"/>
      <c r="CZ14" s="152"/>
      <c r="DA14" s="148"/>
      <c r="DB14" s="151"/>
      <c r="DC14" s="148"/>
      <c r="DD14" s="151"/>
      <c r="DE14" s="151"/>
      <c r="DF14" s="148"/>
      <c r="DG14" s="148"/>
      <c r="DH14" s="152"/>
      <c r="DI14" s="148"/>
      <c r="DJ14" s="151"/>
      <c r="DK14" s="148"/>
      <c r="DL14" s="151"/>
      <c r="DM14" s="148"/>
      <c r="DN14" s="151"/>
      <c r="DO14" s="151"/>
      <c r="DP14" s="151"/>
      <c r="DQ14" s="151"/>
      <c r="DR14" s="106"/>
      <c r="DS14" s="106"/>
      <c r="DT14" s="106"/>
      <c r="DU14" s="106"/>
      <c r="DV14" s="106"/>
      <c r="DW14" s="106"/>
    </row>
    <row r="15" spans="1:127" s="76" customFormat="1" ht="20.25" customHeight="1" x14ac:dyDescent="0.25">
      <c r="A15" s="106"/>
      <c r="B15" s="136"/>
      <c r="C15" s="136"/>
      <c r="D15" s="137" t="s">
        <v>135</v>
      </c>
      <c r="E15" s="138"/>
      <c r="F15" s="139"/>
      <c r="G15" s="139"/>
      <c r="H15" s="140"/>
      <c r="I15" s="140"/>
      <c r="J15" s="140"/>
      <c r="K15" s="140"/>
      <c r="L15" s="141"/>
      <c r="M15" s="141"/>
      <c r="N15" s="141"/>
      <c r="O15" s="142"/>
      <c r="P15" s="147"/>
      <c r="Q15" s="148"/>
      <c r="R15" s="148"/>
      <c r="S15" s="148"/>
      <c r="T15" s="148"/>
      <c r="U15" s="148"/>
      <c r="V15" s="148"/>
      <c r="W15" s="153">
        <v>1.0079199999999999</v>
      </c>
      <c r="X15" s="153"/>
      <c r="Y15" s="153"/>
      <c r="Z15" s="153"/>
      <c r="AA15" s="153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9"/>
      <c r="AQ15" s="149"/>
      <c r="AR15" s="149"/>
      <c r="AS15" s="153">
        <v>1.357</v>
      </c>
      <c r="AT15" s="148"/>
      <c r="AU15" s="153">
        <v>1.12771</v>
      </c>
      <c r="AV15" s="148"/>
      <c r="AW15" s="148"/>
      <c r="AX15" s="148"/>
      <c r="AY15" s="148"/>
      <c r="AZ15" s="150"/>
      <c r="BA15" s="148"/>
      <c r="BB15" s="148"/>
      <c r="BC15" s="148"/>
      <c r="BD15" s="151"/>
      <c r="BE15" s="148"/>
      <c r="BF15" s="148"/>
      <c r="BG15" s="148"/>
      <c r="BH15" s="148"/>
      <c r="BI15" s="148"/>
      <c r="BJ15" s="148"/>
      <c r="BK15" s="153">
        <v>1.24386</v>
      </c>
      <c r="BL15" s="148"/>
      <c r="BM15" s="153">
        <v>2.95878</v>
      </c>
      <c r="BN15" s="148"/>
      <c r="BO15" s="148"/>
      <c r="BP15" s="151"/>
      <c r="BQ15" s="153">
        <v>1.9056299999999999</v>
      </c>
      <c r="BR15" s="148"/>
      <c r="BS15" s="148"/>
      <c r="BT15" s="148"/>
      <c r="BU15" s="153">
        <v>1.8066800000000001</v>
      </c>
      <c r="BV15" s="148"/>
      <c r="BW15" s="148"/>
      <c r="BX15" s="148"/>
      <c r="BY15" s="153">
        <v>2.4868000000000001</v>
      </c>
      <c r="BZ15" s="148"/>
      <c r="CA15" s="153">
        <v>2.0692499999999998</v>
      </c>
      <c r="CB15" s="151"/>
      <c r="CC15" s="153">
        <v>3.2574000000000001</v>
      </c>
      <c r="CD15" s="151"/>
      <c r="CE15" s="148"/>
      <c r="CF15" s="148"/>
      <c r="CG15" s="148"/>
      <c r="CH15" s="148"/>
      <c r="CI15" s="153">
        <v>2.3732199999999999</v>
      </c>
      <c r="CJ15" s="151"/>
      <c r="CK15" s="148"/>
      <c r="CL15" s="151"/>
      <c r="CM15" s="148"/>
      <c r="CN15" s="151"/>
      <c r="CO15" s="148"/>
      <c r="CP15" s="151"/>
      <c r="CQ15" s="153">
        <v>2.2998400000000001</v>
      </c>
      <c r="CR15" s="151"/>
      <c r="CS15" s="153">
        <v>2.6553499999999999</v>
      </c>
      <c r="CT15" s="148"/>
      <c r="CU15" s="153">
        <v>1.59748</v>
      </c>
      <c r="CV15" s="148"/>
      <c r="CW15" s="148"/>
      <c r="CX15" s="148"/>
      <c r="CY15" s="153">
        <v>1.95028</v>
      </c>
      <c r="CZ15" s="152"/>
      <c r="DA15" s="148"/>
      <c r="DB15" s="151"/>
      <c r="DC15" s="148"/>
      <c r="DD15" s="151"/>
      <c r="DE15" s="151"/>
      <c r="DF15" s="148"/>
      <c r="DG15" s="148"/>
      <c r="DH15" s="152"/>
      <c r="DI15" s="148"/>
      <c r="DJ15" s="151"/>
      <c r="DK15" s="153">
        <v>2.0762999999999998</v>
      </c>
      <c r="DL15" s="151"/>
      <c r="DM15" s="148"/>
      <c r="DN15" s="151"/>
      <c r="DO15" s="151"/>
      <c r="DP15" s="151"/>
      <c r="DQ15" s="151"/>
      <c r="DR15" s="106"/>
      <c r="DS15" s="106"/>
      <c r="DT15" s="106"/>
      <c r="DU15" s="106"/>
      <c r="DV15" s="106"/>
      <c r="DW15" s="106"/>
    </row>
    <row r="16" spans="1:127" ht="15.75" customHeight="1" x14ac:dyDescent="0.25">
      <c r="A16" s="154">
        <v>1</v>
      </c>
      <c r="B16" s="155"/>
      <c r="C16" s="156"/>
      <c r="D16" s="157" t="s">
        <v>136</v>
      </c>
      <c r="E16" s="158">
        <v>25969</v>
      </c>
      <c r="F16" s="159">
        <v>0.5</v>
      </c>
      <c r="G16" s="160"/>
      <c r="H16" s="161"/>
      <c r="I16" s="162"/>
      <c r="J16" s="162"/>
      <c r="K16" s="163"/>
      <c r="L16" s="164"/>
      <c r="M16" s="164"/>
      <c r="N16" s="164"/>
      <c r="O16" s="165"/>
      <c r="P16" s="166">
        <f t="shared" ref="P16:V16" si="0">P17</f>
        <v>0</v>
      </c>
      <c r="Q16" s="166">
        <f t="shared" si="0"/>
        <v>0</v>
      </c>
      <c r="R16" s="166">
        <f t="shared" si="0"/>
        <v>0</v>
      </c>
      <c r="S16" s="166">
        <f t="shared" si="0"/>
        <v>0</v>
      </c>
      <c r="T16" s="166">
        <f t="shared" si="0"/>
        <v>0</v>
      </c>
      <c r="U16" s="166">
        <f t="shared" si="0"/>
        <v>0</v>
      </c>
      <c r="V16" s="166">
        <f t="shared" si="0"/>
        <v>540</v>
      </c>
      <c r="W16" s="166">
        <f>W17</f>
        <v>11493230.174999999</v>
      </c>
      <c r="X16" s="166"/>
      <c r="Y16" s="166"/>
      <c r="Z16" s="166"/>
      <c r="AA16" s="166"/>
      <c r="AB16" s="166">
        <f t="shared" ref="AB16:AI16" si="1">AB17</f>
        <v>0</v>
      </c>
      <c r="AC16" s="166">
        <f t="shared" si="1"/>
        <v>0</v>
      </c>
      <c r="AD16" s="166">
        <f t="shared" si="1"/>
        <v>0</v>
      </c>
      <c r="AE16" s="166">
        <f t="shared" si="1"/>
        <v>0</v>
      </c>
      <c r="AF16" s="166">
        <f t="shared" si="1"/>
        <v>0</v>
      </c>
      <c r="AG16" s="166">
        <f t="shared" si="1"/>
        <v>0</v>
      </c>
      <c r="AH16" s="166">
        <f t="shared" si="1"/>
        <v>0</v>
      </c>
      <c r="AI16" s="166">
        <f t="shared" si="1"/>
        <v>0</v>
      </c>
      <c r="AJ16" s="166"/>
      <c r="AK16" s="166"/>
      <c r="AL16" s="166">
        <f t="shared" ref="AL16:CV16" si="2">AL17</f>
        <v>0</v>
      </c>
      <c r="AM16" s="166">
        <f t="shared" si="2"/>
        <v>0</v>
      </c>
      <c r="AN16" s="166">
        <f t="shared" si="2"/>
        <v>0</v>
      </c>
      <c r="AO16" s="166">
        <f t="shared" si="2"/>
        <v>0</v>
      </c>
      <c r="AP16" s="166">
        <f t="shared" si="2"/>
        <v>0</v>
      </c>
      <c r="AQ16" s="166">
        <f t="shared" si="2"/>
        <v>0</v>
      </c>
      <c r="AR16" s="166">
        <f t="shared" si="2"/>
        <v>0</v>
      </c>
      <c r="AS16" s="166">
        <f t="shared" si="2"/>
        <v>0</v>
      </c>
      <c r="AT16" s="166">
        <f t="shared" si="2"/>
        <v>79</v>
      </c>
      <c r="AU16" s="166">
        <f t="shared" si="2"/>
        <v>2017700.4084999994</v>
      </c>
      <c r="AV16" s="166">
        <f t="shared" si="2"/>
        <v>0</v>
      </c>
      <c r="AW16" s="166">
        <f t="shared" si="2"/>
        <v>0</v>
      </c>
      <c r="AX16" s="166">
        <f t="shared" si="2"/>
        <v>0</v>
      </c>
      <c r="AY16" s="166">
        <f t="shared" si="2"/>
        <v>0</v>
      </c>
      <c r="AZ16" s="166">
        <f t="shared" si="2"/>
        <v>0</v>
      </c>
      <c r="BA16" s="166">
        <f t="shared" si="2"/>
        <v>0</v>
      </c>
      <c r="BB16" s="166">
        <f t="shared" si="2"/>
        <v>0</v>
      </c>
      <c r="BC16" s="166">
        <f t="shared" si="2"/>
        <v>0</v>
      </c>
      <c r="BD16" s="166">
        <f t="shared" si="2"/>
        <v>0</v>
      </c>
      <c r="BE16" s="166">
        <f t="shared" si="2"/>
        <v>0</v>
      </c>
      <c r="BF16" s="166">
        <f t="shared" si="2"/>
        <v>0</v>
      </c>
      <c r="BG16" s="166">
        <f t="shared" si="2"/>
        <v>0</v>
      </c>
      <c r="BH16" s="166">
        <f t="shared" si="2"/>
        <v>98</v>
      </c>
      <c r="BI16" s="166">
        <f t="shared" si="2"/>
        <v>1050479.2400000019</v>
      </c>
      <c r="BJ16" s="166">
        <f t="shared" si="2"/>
        <v>0</v>
      </c>
      <c r="BK16" s="166">
        <f t="shared" si="2"/>
        <v>0</v>
      </c>
      <c r="BL16" s="166">
        <f t="shared" si="2"/>
        <v>64</v>
      </c>
      <c r="BM16" s="166">
        <f t="shared" si="2"/>
        <v>1362160.6133333331</v>
      </c>
      <c r="BN16" s="166">
        <f t="shared" si="2"/>
        <v>10</v>
      </c>
      <c r="BO16" s="166">
        <f t="shared" si="2"/>
        <v>255405.11499999999</v>
      </c>
      <c r="BP16" s="166">
        <f t="shared" si="2"/>
        <v>0</v>
      </c>
      <c r="BQ16" s="166">
        <f t="shared" si="2"/>
        <v>0</v>
      </c>
      <c r="BR16" s="166">
        <f t="shared" si="2"/>
        <v>0</v>
      </c>
      <c r="BS16" s="166">
        <f t="shared" si="2"/>
        <v>0</v>
      </c>
      <c r="BT16" s="166">
        <f t="shared" si="2"/>
        <v>33</v>
      </c>
      <c r="BU16" s="166">
        <f t="shared" si="2"/>
        <v>842836.87949999992</v>
      </c>
      <c r="BV16" s="166">
        <f t="shared" si="2"/>
        <v>0</v>
      </c>
      <c r="BW16" s="166">
        <f t="shared" si="2"/>
        <v>0</v>
      </c>
      <c r="BX16" s="166">
        <f t="shared" si="2"/>
        <v>25</v>
      </c>
      <c r="BY16" s="166">
        <f t="shared" si="2"/>
        <v>638512.78750000009</v>
      </c>
      <c r="BZ16" s="166">
        <f t="shared" si="2"/>
        <v>50</v>
      </c>
      <c r="CA16" s="166">
        <f t="shared" si="2"/>
        <v>1277025.5750000002</v>
      </c>
      <c r="CB16" s="166">
        <f t="shared" si="2"/>
        <v>0</v>
      </c>
      <c r="CC16" s="166">
        <f t="shared" si="2"/>
        <v>0</v>
      </c>
      <c r="CD16" s="166">
        <f t="shared" si="2"/>
        <v>0</v>
      </c>
      <c r="CE16" s="166">
        <f t="shared" si="2"/>
        <v>0</v>
      </c>
      <c r="CF16" s="166">
        <f t="shared" si="2"/>
        <v>0</v>
      </c>
      <c r="CG16" s="166">
        <f t="shared" si="2"/>
        <v>0</v>
      </c>
      <c r="CH16" s="166">
        <f t="shared" si="2"/>
        <v>80</v>
      </c>
      <c r="CI16" s="166">
        <f t="shared" si="2"/>
        <v>2043240.92</v>
      </c>
      <c r="CJ16" s="166">
        <f t="shared" si="2"/>
        <v>0</v>
      </c>
      <c r="CK16" s="166">
        <f t="shared" si="2"/>
        <v>0</v>
      </c>
      <c r="CL16" s="166">
        <f t="shared" si="2"/>
        <v>0</v>
      </c>
      <c r="CM16" s="166">
        <f t="shared" si="2"/>
        <v>0</v>
      </c>
      <c r="CN16" s="166">
        <f t="shared" si="2"/>
        <v>0</v>
      </c>
      <c r="CO16" s="166">
        <f t="shared" si="2"/>
        <v>0</v>
      </c>
      <c r="CP16" s="166">
        <f t="shared" si="2"/>
        <v>10</v>
      </c>
      <c r="CQ16" s="166">
        <f t="shared" si="2"/>
        <v>212837.59583333333</v>
      </c>
      <c r="CR16" s="166">
        <f t="shared" si="2"/>
        <v>0</v>
      </c>
      <c r="CS16" s="166">
        <f t="shared" si="2"/>
        <v>0</v>
      </c>
      <c r="CT16" s="166">
        <f t="shared" si="2"/>
        <v>0</v>
      </c>
      <c r="CU16" s="166">
        <f t="shared" si="2"/>
        <v>0</v>
      </c>
      <c r="CV16" s="166">
        <f t="shared" si="2"/>
        <v>40</v>
      </c>
      <c r="CW16" s="166">
        <v>915640.86000000068</v>
      </c>
      <c r="CX16" s="166">
        <f t="shared" ref="CX16:CZ16" si="3">CX17</f>
        <v>10</v>
      </c>
      <c r="CY16" s="166">
        <f t="shared" si="3"/>
        <v>255405.11499999999</v>
      </c>
      <c r="CZ16" s="166">
        <f t="shared" si="3"/>
        <v>0</v>
      </c>
      <c r="DA16" s="166">
        <v>0</v>
      </c>
      <c r="DB16" s="166">
        <f t="shared" ref="DB16:DS16" si="4">DB17</f>
        <v>0</v>
      </c>
      <c r="DC16" s="166">
        <f t="shared" si="4"/>
        <v>0</v>
      </c>
      <c r="DD16" s="166">
        <f t="shared" si="4"/>
        <v>0</v>
      </c>
      <c r="DE16" s="166">
        <f t="shared" si="4"/>
        <v>0</v>
      </c>
      <c r="DF16" s="166">
        <f t="shared" si="4"/>
        <v>0</v>
      </c>
      <c r="DG16" s="166">
        <f t="shared" si="4"/>
        <v>0</v>
      </c>
      <c r="DH16" s="166">
        <f t="shared" si="4"/>
        <v>0</v>
      </c>
      <c r="DI16" s="166">
        <f t="shared" si="4"/>
        <v>0</v>
      </c>
      <c r="DJ16" s="166">
        <f t="shared" si="4"/>
        <v>25</v>
      </c>
      <c r="DK16" s="166">
        <f t="shared" si="4"/>
        <v>638512.78750000009</v>
      </c>
      <c r="DL16" s="166">
        <f t="shared" si="4"/>
        <v>0</v>
      </c>
      <c r="DM16" s="166">
        <f t="shared" si="4"/>
        <v>0</v>
      </c>
      <c r="DN16" s="166">
        <f t="shared" si="4"/>
        <v>0</v>
      </c>
      <c r="DO16" s="166">
        <f t="shared" si="4"/>
        <v>0</v>
      </c>
      <c r="DP16" s="166">
        <f t="shared" si="4"/>
        <v>0</v>
      </c>
      <c r="DQ16" s="166">
        <f t="shared" si="4"/>
        <v>0</v>
      </c>
      <c r="DR16" s="166">
        <f t="shared" si="4"/>
        <v>1064</v>
      </c>
      <c r="DS16" s="166">
        <f t="shared" si="4"/>
        <v>23002988.07216667</v>
      </c>
      <c r="DT16" s="166">
        <v>1064</v>
      </c>
      <c r="DU16" s="166">
        <v>22628666.578000002</v>
      </c>
      <c r="DV16" s="167">
        <f>DR16-DT16</f>
        <v>0</v>
      </c>
      <c r="DW16" s="167">
        <f>DS16-DU16</f>
        <v>374321.4941666685</v>
      </c>
    </row>
    <row r="17" spans="1:127" s="76" customFormat="1" ht="39.75" customHeight="1" x14ac:dyDescent="0.25">
      <c r="A17" s="106"/>
      <c r="B17" s="320">
        <v>1</v>
      </c>
      <c r="C17" s="177" t="s">
        <v>137</v>
      </c>
      <c r="D17" s="178" t="s">
        <v>138</v>
      </c>
      <c r="E17" s="158">
        <v>25969</v>
      </c>
      <c r="F17" s="321">
        <v>0.5</v>
      </c>
      <c r="G17" s="168">
        <v>1.1499999999999999</v>
      </c>
      <c r="H17" s="168">
        <v>1.4</v>
      </c>
      <c r="I17" s="169"/>
      <c r="J17" s="169"/>
      <c r="K17" s="106"/>
      <c r="L17" s="180">
        <v>1.4</v>
      </c>
      <c r="M17" s="180">
        <v>1.68</v>
      </c>
      <c r="N17" s="180">
        <v>2.23</v>
      </c>
      <c r="O17" s="181">
        <v>2.57</v>
      </c>
      <c r="P17" s="267"/>
      <c r="Q17" s="182">
        <f>(P17*$E17*$F17*$G17*$L17)</f>
        <v>0</v>
      </c>
      <c r="R17" s="187"/>
      <c r="S17" s="187">
        <f>(R17*$E17*$F17*$G17*$L17)</f>
        <v>0</v>
      </c>
      <c r="T17" s="182"/>
      <c r="U17" s="182">
        <f>(T17*$E17*$F17*$G17*$L17)</f>
        <v>0</v>
      </c>
      <c r="V17" s="182">
        <v>540</v>
      </c>
      <c r="W17" s="182">
        <f>(V17/12*11*$E17*$F17*$G17*$L17)+(V17/12*1*$E17*$F17*$H17*$L17)</f>
        <v>11493230.174999999</v>
      </c>
      <c r="X17" s="187"/>
      <c r="Y17" s="187"/>
      <c r="Z17" s="187"/>
      <c r="AA17" s="187"/>
      <c r="AB17" s="322"/>
      <c r="AC17" s="182"/>
      <c r="AD17" s="228"/>
      <c r="AE17" s="182">
        <f>(AD17*$E17*$F17*$G17*$L17)</f>
        <v>0</v>
      </c>
      <c r="AF17" s="184"/>
      <c r="AG17" s="182"/>
      <c r="AH17" s="184"/>
      <c r="AI17" s="182">
        <f>(AH17*$E17*$F17*$G17*$L17)</f>
        <v>0</v>
      </c>
      <c r="AJ17" s="182"/>
      <c r="AK17" s="182"/>
      <c r="AL17" s="184"/>
      <c r="AM17" s="182"/>
      <c r="AN17" s="184"/>
      <c r="AO17" s="182"/>
      <c r="AP17" s="323"/>
      <c r="AQ17" s="182"/>
      <c r="AR17" s="182"/>
      <c r="AS17" s="182"/>
      <c r="AT17" s="182">
        <v>79</v>
      </c>
      <c r="AU17" s="183">
        <f>(AT17/12*11*$E17*$F17*$G17*$M17)+(AT17/12*1*$E17*$F17*$H17*$M17)</f>
        <v>2017700.4084999994</v>
      </c>
      <c r="AV17" s="324"/>
      <c r="AW17" s="182">
        <f>(AV17*$E17*$F17*$H17*$M17)</f>
        <v>0</v>
      </c>
      <c r="AX17" s="228"/>
      <c r="AY17" s="187"/>
      <c r="AZ17" s="322"/>
      <c r="BA17" s="182">
        <f>(AZ17*$E17*$F17*$G17*$L17*$AO$12)</f>
        <v>0</v>
      </c>
      <c r="BB17" s="184"/>
      <c r="BC17" s="182">
        <f>(BB17*$E17*$F17*$G17*$L17*BC$12)</f>
        <v>0</v>
      </c>
      <c r="BD17" s="228"/>
      <c r="BE17" s="182">
        <f>(BD17*$E17*$F17*$G17*$L17*BE$12)</f>
        <v>0</v>
      </c>
      <c r="BF17" s="322"/>
      <c r="BG17" s="182"/>
      <c r="BH17" s="322">
        <v>98</v>
      </c>
      <c r="BI17" s="183">
        <v>1050479.2400000019</v>
      </c>
      <c r="BJ17" s="184"/>
      <c r="BK17" s="182"/>
      <c r="BL17" s="205">
        <v>64</v>
      </c>
      <c r="BM17" s="182">
        <f>(BL17/12*11*$E17*$F17*$G17*$L17)+(BL17/12*1*$E17*$F17*$H17*$L17)</f>
        <v>1362160.6133333331</v>
      </c>
      <c r="BN17" s="205">
        <v>10</v>
      </c>
      <c r="BO17" s="182">
        <f>(BN17/12*11*$E17*$F17*$G17*$M17)+(BN17/12*1*$E17*$F17*$H17*$M17)</f>
        <v>255405.11499999999</v>
      </c>
      <c r="BP17" s="184"/>
      <c r="BQ17" s="182"/>
      <c r="BR17" s="322"/>
      <c r="BS17" s="252"/>
      <c r="BT17" s="182">
        <v>33</v>
      </c>
      <c r="BU17" s="182">
        <f>(BT17/12*11*$E17*$F17*$G17*$M17)+(BT17/12*1*$E17*$F17*$H17*$M17)</f>
        <v>842836.87949999992</v>
      </c>
      <c r="BV17" s="184"/>
      <c r="BW17" s="182"/>
      <c r="BX17" s="182">
        <v>25</v>
      </c>
      <c r="BY17" s="182">
        <f>(BX17/12*11*$E17*$F17*$G17*$M17)+(BX17/12*1*$E17*$F17*$H17*$M17)</f>
        <v>638512.78750000009</v>
      </c>
      <c r="BZ17" s="325">
        <v>50</v>
      </c>
      <c r="CA17" s="187">
        <f>(BZ17/12*11*$E17*$F17*$G17*$M17)+(BZ17/12*1*$E17*$F17*$H17*$M17)</f>
        <v>1277025.5750000002</v>
      </c>
      <c r="CB17" s="184"/>
      <c r="CC17" s="182"/>
      <c r="CD17" s="184"/>
      <c r="CE17" s="182"/>
      <c r="CF17" s="184"/>
      <c r="CG17" s="182"/>
      <c r="CH17" s="182">
        <v>80</v>
      </c>
      <c r="CI17" s="182">
        <f>(CH17/12*11*$E17*$F17*$G17*$M17)+(CH17/12*1*$E17*$F17*$H17*$M17)</f>
        <v>2043240.92</v>
      </c>
      <c r="CJ17" s="184"/>
      <c r="CK17" s="182">
        <f>(CJ17*$E17*$F17*$G17*$L17)</f>
        <v>0</v>
      </c>
      <c r="CL17" s="184"/>
      <c r="CM17" s="182"/>
      <c r="CN17" s="184"/>
      <c r="CO17" s="182"/>
      <c r="CP17" s="182">
        <v>10</v>
      </c>
      <c r="CQ17" s="182">
        <f>(CP17/12*11*$E17*$F17*$G17*$L17)+(CP17/12*1*$E17*$F17*$H17*$L17)</f>
        <v>212837.59583333333</v>
      </c>
      <c r="CR17" s="184"/>
      <c r="CS17" s="182"/>
      <c r="CT17" s="184"/>
      <c r="CU17" s="182"/>
      <c r="CV17" s="182">
        <v>40</v>
      </c>
      <c r="CW17" s="182">
        <v>915640.86000000068</v>
      </c>
      <c r="CX17" s="182">
        <v>10</v>
      </c>
      <c r="CY17" s="182">
        <f>(CX17/12*11*$E17*$F17*$G17*$M17)+(CX17/12*1*$E17*$F17*$H17*$M17)</f>
        <v>255405.11499999999</v>
      </c>
      <c r="CZ17" s="184"/>
      <c r="DA17" s="182">
        <v>0</v>
      </c>
      <c r="DB17" s="184"/>
      <c r="DC17" s="182"/>
      <c r="DD17" s="184"/>
      <c r="DE17" s="187">
        <f>(DD17*$E17*$F17*$G17*$M17)</f>
        <v>0</v>
      </c>
      <c r="DF17" s="228"/>
      <c r="DG17" s="182"/>
      <c r="DH17" s="326"/>
      <c r="DI17" s="182"/>
      <c r="DJ17" s="182">
        <v>25</v>
      </c>
      <c r="DK17" s="182">
        <f>(DJ17/12*11*$E17*$F17*$G17*$M17)+(DJ17/12*1*$E17*$F17*$H17*$M17)</f>
        <v>638512.78750000009</v>
      </c>
      <c r="DL17" s="184"/>
      <c r="DM17" s="182"/>
      <c r="DN17" s="184"/>
      <c r="DO17" s="187"/>
      <c r="DP17" s="187"/>
      <c r="DQ17" s="187"/>
      <c r="DR17" s="183">
        <f>SUM(P17,R17,T17,V17,AB17,AJ17,AD17,AF17,AH17,AL17,AN17,AP17,AV17,AZ17,BB17,CF17,AR17,BF17,BH17,BJ17,CT17,BL17,BN17,AT17,BR17,AX17,CV17,BT17,CX17,BV17,BX17,BZ17,CH17,CB17,CD17,CJ17,CL17,CN17,CP17,CR17,CZ17,DB17,BP17,BD17,DD17,DF17,DH17,DJ17,DL17,DN17,DP17)</f>
        <v>1064</v>
      </c>
      <c r="DS17" s="183">
        <f>SUM(Q17,S17,U17,W17,AC17,AK17,AE17,AG17,AI17,AM17,AO17,AQ17,AW17,BA17,BC17,CG17,AS17,BG17,BI17,BK17,CU17,BM17,BO17,AU17,BS17,AY17,CW17,BU17,CY17,BW17,BY17,CA17,CI17,CC17,CE17,CK17,CM17,CO17,CQ17,CS17,DA17,DC17,BQ17,BE17,DE17,DG17,DI17,DK17,DM17,DO17,DQ17)</f>
        <v>23002988.07216667</v>
      </c>
      <c r="DT17" s="182">
        <v>1064</v>
      </c>
      <c r="DU17" s="182">
        <v>22628666.578000002</v>
      </c>
      <c r="DV17" s="167">
        <f t="shared" ref="DV17:DW80" si="5">DR17-DT17</f>
        <v>0</v>
      </c>
      <c r="DW17" s="167">
        <f t="shared" si="5"/>
        <v>374321.4941666685</v>
      </c>
    </row>
    <row r="18" spans="1:127" ht="17.25" customHeight="1" x14ac:dyDescent="0.25">
      <c r="A18" s="170">
        <v>2</v>
      </c>
      <c r="B18" s="155"/>
      <c r="C18" s="156"/>
      <c r="D18" s="157" t="s">
        <v>139</v>
      </c>
      <c r="E18" s="158">
        <v>25969</v>
      </c>
      <c r="F18" s="159">
        <v>0.8</v>
      </c>
      <c r="G18" s="171"/>
      <c r="H18" s="172"/>
      <c r="I18" s="169"/>
      <c r="J18" s="169"/>
      <c r="K18" s="173"/>
      <c r="L18" s="174">
        <v>1.4</v>
      </c>
      <c r="M18" s="174">
        <v>1.68</v>
      </c>
      <c r="N18" s="174">
        <v>2.23</v>
      </c>
      <c r="O18" s="175">
        <v>2.57</v>
      </c>
      <c r="P18" s="166">
        <f t="shared" ref="P18:CA18" si="6">SUM(P19:P32)</f>
        <v>2184</v>
      </c>
      <c r="Q18" s="166">
        <f t="shared" si="6"/>
        <v>71332687.029444173</v>
      </c>
      <c r="R18" s="166">
        <f t="shared" si="6"/>
        <v>4</v>
      </c>
      <c r="S18" s="166">
        <f t="shared" si="6"/>
        <v>123361.57945999999</v>
      </c>
      <c r="T18" s="166">
        <f t="shared" si="6"/>
        <v>4</v>
      </c>
      <c r="U18" s="166">
        <f t="shared" si="6"/>
        <v>165090.776025</v>
      </c>
      <c r="V18" s="166">
        <f t="shared" si="6"/>
        <v>7649</v>
      </c>
      <c r="W18" s="166">
        <f t="shared" si="6"/>
        <v>408468162.79712313</v>
      </c>
      <c r="X18" s="166">
        <v>45</v>
      </c>
      <c r="Y18" s="166">
        <v>2096466.9823999999</v>
      </c>
      <c r="Z18" s="166">
        <v>1</v>
      </c>
      <c r="AA18" s="166">
        <v>51044.666399999995</v>
      </c>
      <c r="AB18" s="166">
        <f t="shared" si="6"/>
        <v>46</v>
      </c>
      <c r="AC18" s="166">
        <f t="shared" si="6"/>
        <v>2147511.6488000001</v>
      </c>
      <c r="AD18" s="166">
        <f t="shared" si="6"/>
        <v>0</v>
      </c>
      <c r="AE18" s="166">
        <f t="shared" si="6"/>
        <v>0</v>
      </c>
      <c r="AF18" s="166">
        <f t="shared" si="6"/>
        <v>0</v>
      </c>
      <c r="AG18" s="166">
        <f t="shared" si="6"/>
        <v>0</v>
      </c>
      <c r="AH18" s="166">
        <f t="shared" si="6"/>
        <v>97</v>
      </c>
      <c r="AI18" s="166">
        <f t="shared" si="6"/>
        <v>4161267.3662</v>
      </c>
      <c r="AJ18" s="166">
        <f>SUM(AJ19:AJ32)</f>
        <v>0</v>
      </c>
      <c r="AK18" s="166">
        <f>SUM(AK19:AK32)</f>
        <v>0</v>
      </c>
      <c r="AL18" s="166">
        <f t="shared" si="6"/>
        <v>0</v>
      </c>
      <c r="AM18" s="166">
        <f t="shared" si="6"/>
        <v>0</v>
      </c>
      <c r="AN18" s="166">
        <f t="shared" si="6"/>
        <v>0</v>
      </c>
      <c r="AO18" s="166">
        <f t="shared" si="6"/>
        <v>0</v>
      </c>
      <c r="AP18" s="166">
        <f t="shared" si="6"/>
        <v>2208</v>
      </c>
      <c r="AQ18" s="166">
        <f t="shared" si="6"/>
        <v>60243978.109886661</v>
      </c>
      <c r="AR18" s="166">
        <f t="shared" si="6"/>
        <v>2091</v>
      </c>
      <c r="AS18" s="166">
        <f t="shared" si="6"/>
        <v>67426017.10304442</v>
      </c>
      <c r="AT18" s="166">
        <f t="shared" si="6"/>
        <v>2591</v>
      </c>
      <c r="AU18" s="166">
        <f t="shared" si="6"/>
        <v>155703794.06918985</v>
      </c>
      <c r="AV18" s="166">
        <f t="shared" si="6"/>
        <v>9</v>
      </c>
      <c r="AW18" s="166">
        <f t="shared" si="6"/>
        <v>546047.06999999995</v>
      </c>
      <c r="AX18" s="166">
        <f t="shared" si="6"/>
        <v>147</v>
      </c>
      <c r="AY18" s="166">
        <f t="shared" si="6"/>
        <v>5626658.4854130009</v>
      </c>
      <c r="AZ18" s="166">
        <f t="shared" si="6"/>
        <v>0</v>
      </c>
      <c r="BA18" s="166">
        <f t="shared" si="6"/>
        <v>0</v>
      </c>
      <c r="BB18" s="166">
        <f t="shared" si="6"/>
        <v>0</v>
      </c>
      <c r="BC18" s="166">
        <f t="shared" si="6"/>
        <v>0</v>
      </c>
      <c r="BD18" s="166">
        <f t="shared" si="6"/>
        <v>0</v>
      </c>
      <c r="BE18" s="166">
        <f t="shared" si="6"/>
        <v>0</v>
      </c>
      <c r="BF18" s="166">
        <f t="shared" si="6"/>
        <v>2291</v>
      </c>
      <c r="BG18" s="166">
        <f t="shared" si="6"/>
        <v>97227440.896800593</v>
      </c>
      <c r="BH18" s="166">
        <f t="shared" si="6"/>
        <v>1384</v>
      </c>
      <c r="BI18" s="166">
        <f t="shared" si="6"/>
        <v>59696145.659999907</v>
      </c>
      <c r="BJ18" s="166">
        <f t="shared" si="6"/>
        <v>3497</v>
      </c>
      <c r="BK18" s="166">
        <f t="shared" si="6"/>
        <v>161388184.78127187</v>
      </c>
      <c r="BL18" s="166">
        <f t="shared" si="6"/>
        <v>540</v>
      </c>
      <c r="BM18" s="166">
        <f t="shared" si="6"/>
        <v>24637438.982351772</v>
      </c>
      <c r="BN18" s="166">
        <f t="shared" si="6"/>
        <v>143</v>
      </c>
      <c r="BO18" s="166">
        <f t="shared" si="6"/>
        <v>5795248.9477540003</v>
      </c>
      <c r="BP18" s="166">
        <f t="shared" si="6"/>
        <v>0</v>
      </c>
      <c r="BQ18" s="166">
        <f t="shared" si="6"/>
        <v>0</v>
      </c>
      <c r="BR18" s="166">
        <f t="shared" si="6"/>
        <v>7765</v>
      </c>
      <c r="BS18" s="166">
        <f t="shared" si="6"/>
        <v>290696544.78669006</v>
      </c>
      <c r="BT18" s="166">
        <f t="shared" si="6"/>
        <v>1025</v>
      </c>
      <c r="BU18" s="166">
        <f t="shared" si="6"/>
        <v>43401391.812596723</v>
      </c>
      <c r="BV18" s="166">
        <f t="shared" si="6"/>
        <v>60</v>
      </c>
      <c r="BW18" s="166">
        <f t="shared" si="6"/>
        <v>1821233.8866749997</v>
      </c>
      <c r="BX18" s="166">
        <f t="shared" si="6"/>
        <v>648</v>
      </c>
      <c r="BY18" s="166">
        <f t="shared" si="6"/>
        <v>32345356.099586528</v>
      </c>
      <c r="BZ18" s="166">
        <f t="shared" si="6"/>
        <v>1048</v>
      </c>
      <c r="CA18" s="166">
        <f t="shared" si="6"/>
        <v>44681853.236449473</v>
      </c>
      <c r="CB18" s="166">
        <f t="shared" ref="CB18:DQ18" si="7">SUM(CB19:CB32)</f>
        <v>0</v>
      </c>
      <c r="CC18" s="166">
        <f t="shared" si="7"/>
        <v>0</v>
      </c>
      <c r="CD18" s="166">
        <f t="shared" si="7"/>
        <v>0</v>
      </c>
      <c r="CE18" s="166">
        <f t="shared" si="7"/>
        <v>0</v>
      </c>
      <c r="CF18" s="166">
        <f t="shared" si="7"/>
        <v>285</v>
      </c>
      <c r="CG18" s="166">
        <f t="shared" si="7"/>
        <v>7013188.1399999987</v>
      </c>
      <c r="CH18" s="166">
        <f t="shared" si="7"/>
        <v>890</v>
      </c>
      <c r="CI18" s="166">
        <f t="shared" si="7"/>
        <v>35224393.407067217</v>
      </c>
      <c r="CJ18" s="166">
        <f t="shared" si="7"/>
        <v>0</v>
      </c>
      <c r="CK18" s="166">
        <f t="shared" si="7"/>
        <v>0</v>
      </c>
      <c r="CL18" s="166">
        <f t="shared" si="7"/>
        <v>160</v>
      </c>
      <c r="CM18" s="166">
        <f t="shared" si="7"/>
        <v>4185662.6448000008</v>
      </c>
      <c r="CN18" s="166">
        <f t="shared" si="7"/>
        <v>158</v>
      </c>
      <c r="CO18" s="166">
        <f t="shared" si="7"/>
        <v>2565164.1507333335</v>
      </c>
      <c r="CP18" s="166">
        <f t="shared" si="7"/>
        <v>242</v>
      </c>
      <c r="CQ18" s="166">
        <f t="shared" si="7"/>
        <v>7900857.3900300777</v>
      </c>
      <c r="CR18" s="166">
        <f t="shared" si="7"/>
        <v>6</v>
      </c>
      <c r="CS18" s="166">
        <f t="shared" si="7"/>
        <v>205337.12818198529</v>
      </c>
      <c r="CT18" s="166">
        <f t="shared" si="7"/>
        <v>293</v>
      </c>
      <c r="CU18" s="166">
        <f t="shared" si="7"/>
        <v>10957207.329070231</v>
      </c>
      <c r="CV18" s="166">
        <f>SUM(CV19:CV32)</f>
        <v>615</v>
      </c>
      <c r="CW18" s="166">
        <v>21924330.169999972</v>
      </c>
      <c r="CX18" s="166">
        <f t="shared" si="7"/>
        <v>673</v>
      </c>
      <c r="CY18" s="166">
        <f t="shared" si="7"/>
        <v>26489533.745018817</v>
      </c>
      <c r="CZ18" s="166">
        <f t="shared" si="7"/>
        <v>0</v>
      </c>
      <c r="DA18" s="166">
        <v>0</v>
      </c>
      <c r="DB18" s="166">
        <f t="shared" si="7"/>
        <v>0</v>
      </c>
      <c r="DC18" s="166">
        <f t="shared" si="7"/>
        <v>0</v>
      </c>
      <c r="DD18" s="166">
        <f t="shared" si="7"/>
        <v>0</v>
      </c>
      <c r="DE18" s="166">
        <f t="shared" si="7"/>
        <v>0</v>
      </c>
      <c r="DF18" s="166">
        <f t="shared" si="7"/>
        <v>0</v>
      </c>
      <c r="DG18" s="166">
        <f t="shared" si="7"/>
        <v>0</v>
      </c>
      <c r="DH18" s="166">
        <f t="shared" si="7"/>
        <v>34</v>
      </c>
      <c r="DI18" s="166">
        <f t="shared" si="7"/>
        <v>726099.47255999991</v>
      </c>
      <c r="DJ18" s="166">
        <f t="shared" si="7"/>
        <v>240</v>
      </c>
      <c r="DK18" s="166">
        <f t="shared" si="7"/>
        <v>8604829.6512159519</v>
      </c>
      <c r="DL18" s="166">
        <f t="shared" si="7"/>
        <v>55</v>
      </c>
      <c r="DM18" s="166">
        <f t="shared" si="7"/>
        <v>2710865.73557</v>
      </c>
      <c r="DN18" s="166">
        <f t="shared" si="7"/>
        <v>186</v>
      </c>
      <c r="DO18" s="166">
        <f t="shared" si="7"/>
        <v>10212438.445775</v>
      </c>
      <c r="DP18" s="166">
        <f t="shared" si="7"/>
        <v>0</v>
      </c>
      <c r="DQ18" s="166">
        <f t="shared" si="7"/>
        <v>0</v>
      </c>
      <c r="DR18" s="166">
        <f>SUM(DR19:DR32)</f>
        <v>39268</v>
      </c>
      <c r="DS18" s="166">
        <f t="shared" ref="DS18" si="8">SUM(DS19:DS32)</f>
        <v>1676355322.5347848</v>
      </c>
      <c r="DT18" s="166">
        <v>39289</v>
      </c>
      <c r="DU18" s="166">
        <v>1631462447.0129101</v>
      </c>
      <c r="DV18" s="167">
        <f t="shared" si="5"/>
        <v>-21</v>
      </c>
      <c r="DW18" s="167">
        <f t="shared" si="5"/>
        <v>44892875.521874666</v>
      </c>
    </row>
    <row r="19" spans="1:127" ht="25.5" customHeight="1" x14ac:dyDescent="0.25">
      <c r="A19" s="154"/>
      <c r="B19" s="176">
        <v>2</v>
      </c>
      <c r="C19" s="177" t="s">
        <v>140</v>
      </c>
      <c r="D19" s="178" t="s">
        <v>141</v>
      </c>
      <c r="E19" s="158">
        <v>25969</v>
      </c>
      <c r="F19" s="179">
        <v>0.93</v>
      </c>
      <c r="G19" s="168">
        <v>1.1499999999999999</v>
      </c>
      <c r="H19" s="168">
        <v>1.4</v>
      </c>
      <c r="I19" s="169"/>
      <c r="J19" s="169"/>
      <c r="K19" s="106"/>
      <c r="L19" s="180">
        <v>1.4</v>
      </c>
      <c r="M19" s="180">
        <v>1.68</v>
      </c>
      <c r="N19" s="180">
        <v>2.23</v>
      </c>
      <c r="O19" s="181">
        <v>2.57</v>
      </c>
      <c r="P19" s="182">
        <v>348</v>
      </c>
      <c r="Q19" s="182">
        <f>(P19/12*11*$E19*$F19*$G19*$L19*$Q$12)+(P19/12*1*$E19*$F19*$H19*$L19*$Q$12)</f>
        <v>15154207.09341</v>
      </c>
      <c r="R19" s="182"/>
      <c r="S19" s="182">
        <f>(R19*$E19*$F19*$G19*$L19*$S$12)</f>
        <v>0</v>
      </c>
      <c r="T19" s="182"/>
      <c r="U19" s="182">
        <f>(T19*$E19*$F19*$G19*$L19*$U$12)</f>
        <v>0</v>
      </c>
      <c r="V19" s="182">
        <v>2533</v>
      </c>
      <c r="W19" s="183">
        <f>(V19*$E19*$F19*$G19*$L19*$W$12)/12*10+(V19*$E19*$F19*$G19*$L19*$W$13)/12*1+(V19*$E19*$F19*$H19*$L19*$W$14*$W$15)/12*1</f>
        <v>127775188.05541301</v>
      </c>
      <c r="X19" s="183"/>
      <c r="Y19" s="183">
        <v>0</v>
      </c>
      <c r="Z19" s="183"/>
      <c r="AA19" s="183">
        <v>0</v>
      </c>
      <c r="AB19" s="182">
        <f>X19+Z19</f>
        <v>0</v>
      </c>
      <c r="AC19" s="182">
        <f>Y19+AA19</f>
        <v>0</v>
      </c>
      <c r="AD19" s="182"/>
      <c r="AE19" s="182">
        <f>(AD19*$E19*$F19*$G19*$L19*$AE$12)</f>
        <v>0</v>
      </c>
      <c r="AF19" s="182"/>
      <c r="AG19" s="182"/>
      <c r="AH19" s="182"/>
      <c r="AI19" s="182">
        <f>(AH19*$E19*$F19*$G19*$L19*$AI$12)</f>
        <v>0</v>
      </c>
      <c r="AJ19" s="182"/>
      <c r="AK19" s="182"/>
      <c r="AL19" s="182"/>
      <c r="AM19" s="182"/>
      <c r="AN19" s="184"/>
      <c r="AO19" s="182">
        <f>(AN19*$E19*$F19*$G19*$L19*$AO$12)</f>
        <v>0</v>
      </c>
      <c r="AP19" s="182">
        <v>336</v>
      </c>
      <c r="AQ19" s="183">
        <f>(AP19/12*11*$E19*$F19*$G19*$L19*$AQ$12)+(AP19/12*1*$E19*$F19*$H19*$L19*$AQ$12)</f>
        <v>14631648.228119999</v>
      </c>
      <c r="AR19" s="185">
        <v>310</v>
      </c>
      <c r="AS19" s="182">
        <f>(AR19*$E19*$F19*$G19*$L19*$AS$12)/12*10+(AR19*$E19*$F19*$G19*$L19*$AS$13)/12*1+(AR19*$E19*$F19*$H19*$L19*$AS$14*$AS$15)/12*1</f>
        <v>14728598.028339304</v>
      </c>
      <c r="AT19" s="182">
        <v>1292</v>
      </c>
      <c r="AU19" s="182">
        <f>(AT19*$E19*$F19*$G19*$M19*$AU$12)/12*10+(AT19*$E19*$F19*$G19*$M19*$AU$13)/12+(AT19*$E19*$F19*$H19*$M19*$AU$14*$AU$15)/12</f>
        <v>71196397.216672987</v>
      </c>
      <c r="AV19" s="186"/>
      <c r="AW19" s="182">
        <f>(AV19*$E19*$F19*$G19*$M19*$AW$12)</f>
        <v>0</v>
      </c>
      <c r="AX19" s="182">
        <v>37</v>
      </c>
      <c r="AY19" s="187">
        <f>(AX19/12*11*$E19*$F19*$G19*$M19*$AY$12)+(AX19/12*1*$E19*$F19*$H19*$M19*$AY$12)</f>
        <v>1933467.8015730004</v>
      </c>
      <c r="AZ19" s="182"/>
      <c r="BA19" s="182">
        <f>(AZ19*$E19*$F19*$G19*$L19*$BA$12)</f>
        <v>0</v>
      </c>
      <c r="BB19" s="182">
        <v>0</v>
      </c>
      <c r="BC19" s="182">
        <f>(BB19*$E19*$F19*$G19*$L19*$BC$12)</f>
        <v>0</v>
      </c>
      <c r="BD19" s="182"/>
      <c r="BE19" s="182">
        <f>(BD19*$E19*$F19*$G19*$L19*$BE$12)</f>
        <v>0</v>
      </c>
      <c r="BF19" s="182">
        <v>1212</v>
      </c>
      <c r="BG19" s="182">
        <v>46511147.340000585</v>
      </c>
      <c r="BH19" s="188">
        <v>504</v>
      </c>
      <c r="BI19" s="183">
        <v>18614885.540000111</v>
      </c>
      <c r="BJ19" s="182">
        <f>780+594</f>
        <v>1374</v>
      </c>
      <c r="BK19" s="183">
        <f>(BJ19/12*11*$E19*$F19*$G19*$L19*$BK$12)+(BJ19/12*1*$E19*$F19*$H19*$L19*$BK$14*$BK$15)</f>
        <v>57063695.526199922</v>
      </c>
      <c r="BL19" s="182">
        <v>149</v>
      </c>
      <c r="BM19" s="182">
        <f>(BL19/12*11*$E19*$F19*$G19*$L19*$BM$12)+(BL19/12*1*$E19*$F19*$H19*$L19*$BM$12*$BM$15)</f>
        <v>8459845.9845850095</v>
      </c>
      <c r="BN19" s="182">
        <v>26</v>
      </c>
      <c r="BO19" s="182">
        <f>(BN19/12*11*$E19*$F19*$G19*$M19*$BO$12)+(BN19/12*1*$E19*$F19*$H19*$M19*$BO$12)</f>
        <v>1358653.0497539998</v>
      </c>
      <c r="BP19" s="182"/>
      <c r="BQ19" s="182">
        <f>(BP19*$E19*$F19*$G19*$M19*$BQ$12)</f>
        <v>0</v>
      </c>
      <c r="BR19" s="188">
        <v>2721</v>
      </c>
      <c r="BS19" s="183">
        <f>(BR19/12*11*$E19*$F19*$G19*$M19*$BS$12)+(BR19/12*1*$E19*$F19*$H19*$M19*$BS$12)</f>
        <v>129262061.13219</v>
      </c>
      <c r="BT19" s="182">
        <v>340</v>
      </c>
      <c r="BU19" s="182">
        <f>(BT19*$E19*$F19*$G19*$M19*$BU$12)/12*10+(BT19*$E19*$F19*$G19*$M19*$BU$13)/12*1+(BT19*$E19*$F19*$H19*$M19*$BU$13*$BU$15)/12*1</f>
        <v>18296071.108261902</v>
      </c>
      <c r="BV19" s="182">
        <v>9</v>
      </c>
      <c r="BW19" s="182">
        <f>(BV19/12*11*$E19*$F19*$G19*$M19*$BW$12)+(BV19/12*1*$E19*$F19*$H19*$M19*$BW$12)</f>
        <v>384793.34625899995</v>
      </c>
      <c r="BX19" s="182">
        <v>140</v>
      </c>
      <c r="BY19" s="183">
        <f>(BX19/12*11*$E19*$F19*$G19*$M19*$BY$12)+(BX19/12*1*$E19*$F19*$H19*$M19*$BY$12*$BY$15)</f>
        <v>9163276.3257799651</v>
      </c>
      <c r="BZ19" s="182">
        <v>230</v>
      </c>
      <c r="CA19" s="187">
        <f>(BZ19/12*11*$E19*$F19*$G19*$M19*$CA$12)+(BZ19/12*1*$E19*$F19*$H19*$M19*$CA$12*$CA$15)</f>
        <v>14508432.533153161</v>
      </c>
      <c r="CB19" s="182"/>
      <c r="CC19" s="182">
        <f>(CB19*$E19*$F19*$G19*$L19*$CC$12)</f>
        <v>0</v>
      </c>
      <c r="CD19" s="182"/>
      <c r="CE19" s="182">
        <f>(CD19*$E19*$F19*$G19*$L19*$CE$12)</f>
        <v>0</v>
      </c>
      <c r="CF19" s="182"/>
      <c r="CG19" s="182">
        <f>(CF19*$E19*$F19*$G19*$L19*$CG$12)</f>
        <v>0</v>
      </c>
      <c r="CH19" s="182">
        <v>290</v>
      </c>
      <c r="CI19" s="182">
        <f>(CH19/12*11*$E19*$F19*$G19*$M19*$CI$12)+(CH19/12*1*$E19*$F19*$H19*$M19*$CI$12*$CI$15)</f>
        <v>15661643.094995018</v>
      </c>
      <c r="CJ19" s="182"/>
      <c r="CK19" s="182">
        <f>(CJ19*$E19*$F19*$G19*$L19*CK$12)</f>
        <v>0</v>
      </c>
      <c r="CL19" s="182">
        <v>80</v>
      </c>
      <c r="CM19" s="183">
        <f>(CL19/12*11*$E19*$F19*$G19*$L19*$CM$12)+(CL19/12*1*$E19*$F19*$H19*$L19*$CM$12)</f>
        <v>2533618.7408000007</v>
      </c>
      <c r="CN19" s="182">
        <v>30</v>
      </c>
      <c r="CO19" s="183">
        <f>(CN19/12*11*$E19*$F19*$G19*$L19*$CO$12)+(CN19/12*1*$E19*$F19*$H19*$L19*$CO$12)</f>
        <v>950107.02779999992</v>
      </c>
      <c r="CP19" s="182">
        <v>60</v>
      </c>
      <c r="CQ19" s="182">
        <f>(CP19/12*11*$E19*$F19*$G19*$L19*$CQ$12)+(CP19/12*1*$E19*$F19*$H19*$L19*$CQ$12*$CQ$15)</f>
        <v>2682915.6062654397</v>
      </c>
      <c r="CR19" s="182">
        <v>1</v>
      </c>
      <c r="CS19" s="182">
        <f>(CR19*$E19*$F19*$G19*$L19*$CS$12)/12*10+(CR19*$E19*$F19*$G19*$L19*$CS$13)/12*1+(CR19*$E19*$F19*$H19*$L19*$CS$13*$CS$15)/12*1</f>
        <v>48860.600734861997</v>
      </c>
      <c r="CT19" s="182">
        <f>120-20</f>
        <v>100</v>
      </c>
      <c r="CU19" s="182">
        <f>(CT19/12*11*$E19*$F19*$G19*$L19*$CU$12)+(CT19/12*1*$E19*$F19*$H19*$L19*$CU$12*$CU$15)</f>
        <v>4194466.6863428</v>
      </c>
      <c r="CV19" s="182">
        <v>194</v>
      </c>
      <c r="CW19" s="182">
        <v>8888741.4399999734</v>
      </c>
      <c r="CX19" s="182">
        <v>180</v>
      </c>
      <c r="CY19" s="182">
        <f>(CX19/12*11*$E19*$F19*$G19*$M19*$CY$12)+(CX19/12*1*$E19*$F19*$H19*$M19*$CY$12*CY$15)</f>
        <v>9360652.4388377275</v>
      </c>
      <c r="CZ19" s="182"/>
      <c r="DA19" s="182">
        <v>0</v>
      </c>
      <c r="DB19" s="188"/>
      <c r="DC19" s="182">
        <f>(DB19*$E19*$F19*$G19*$M19*$DC$12)</f>
        <v>0</v>
      </c>
      <c r="DD19" s="182"/>
      <c r="DE19" s="187">
        <f>(DD19*$E19*$F19*$G19*$M19*DE$12)</f>
        <v>0</v>
      </c>
      <c r="DF19" s="182"/>
      <c r="DG19" s="182">
        <f>(DF19*$E19*$F19*$G19*$M19*$DG$12)</f>
        <v>0</v>
      </c>
      <c r="DH19" s="189">
        <f>ROUND(3*0.75,0)</f>
        <v>2</v>
      </c>
      <c r="DI19" s="182">
        <f>(DH19*$E19*$F19*$G19*$M19*$DI$12)</f>
        <v>93320.120879999988</v>
      </c>
      <c r="DJ19" s="182">
        <f>106-15</f>
        <v>91</v>
      </c>
      <c r="DK19" s="182">
        <f>(DJ19/12*11*$E19*$F19*$G19*$M19*$DK$12)+(DJ19/12*1*$E19*$F19*$H19*$M19*$DK$12*$DK$15)</f>
        <v>4786614.2530675549</v>
      </c>
      <c r="DL19" s="182">
        <f>ROUND(35*0.75,0)</f>
        <v>26</v>
      </c>
      <c r="DM19" s="182">
        <f>(DL19*$E19*$F19*$G19*$N19*$DM$12)</f>
        <v>1610327.5620899999</v>
      </c>
      <c r="DN19" s="182">
        <f>108*0.75</f>
        <v>81</v>
      </c>
      <c r="DO19" s="190">
        <f>(DN19*$E19*$F19*$G19*$O19*$DO$12)</f>
        <v>5781681.4177349992</v>
      </c>
      <c r="DP19" s="191"/>
      <c r="DQ19" s="191"/>
      <c r="DR19" s="183">
        <f t="shared" ref="DR19:DS32" si="9">SUM(P19,R19,T19,V19,AB19,AJ19,AD19,AF19,AH19,AL19,AN19,AP19,AV19,AZ19,BB19,CF19,AR19,BF19,BH19,BJ19,CT19,BL19,BN19,AT19,BR19,AX19,CV19,BT19,CX19,BV19,BX19,BZ19,CH19,CB19,CD19,CJ19,CL19,CN19,CP19,CR19,CZ19,DB19,BP19,BD19,DD19,DF19,DH19,DJ19,DL19,DN19,DP19)</f>
        <v>12696</v>
      </c>
      <c r="DS19" s="183">
        <f t="shared" si="9"/>
        <v>605635317.29926038</v>
      </c>
      <c r="DT19" s="182">
        <v>12784</v>
      </c>
      <c r="DU19" s="182">
        <v>585163441.88459277</v>
      </c>
      <c r="DV19" s="167">
        <f t="shared" si="5"/>
        <v>-88</v>
      </c>
      <c r="DW19" s="167">
        <f t="shared" si="5"/>
        <v>20471875.414667606</v>
      </c>
    </row>
    <row r="20" spans="1:127" ht="30" customHeight="1" x14ac:dyDescent="0.25">
      <c r="A20" s="154"/>
      <c r="B20" s="176">
        <v>3</v>
      </c>
      <c r="C20" s="177" t="s">
        <v>142</v>
      </c>
      <c r="D20" s="178" t="s">
        <v>143</v>
      </c>
      <c r="E20" s="158">
        <v>25969</v>
      </c>
      <c r="F20" s="179">
        <v>0.28000000000000003</v>
      </c>
      <c r="G20" s="168">
        <v>1</v>
      </c>
      <c r="H20" s="168">
        <v>1.4</v>
      </c>
      <c r="I20" s="169"/>
      <c r="J20" s="169"/>
      <c r="K20" s="106"/>
      <c r="L20" s="180">
        <v>1.4</v>
      </c>
      <c r="M20" s="180">
        <v>1.68</v>
      </c>
      <c r="N20" s="180">
        <v>2.23</v>
      </c>
      <c r="O20" s="181">
        <v>2.57</v>
      </c>
      <c r="P20" s="182">
        <v>419</v>
      </c>
      <c r="Q20" s="182">
        <f>(P20/12*11*$E20*$F20*$G20*$L20)+(P20/12*1*$E20*$F20*$H20*$L20)</f>
        <v>4407534.8557333332</v>
      </c>
      <c r="R20" s="182"/>
      <c r="S20" s="187">
        <f>(R20*$E20*$F20*$G20*$L20)</f>
        <v>0</v>
      </c>
      <c r="T20" s="182"/>
      <c r="U20" s="182">
        <f>(T20*$E20*$F20*$G20*$L20)</f>
        <v>0</v>
      </c>
      <c r="V20" s="182">
        <v>301</v>
      </c>
      <c r="W20" s="182">
        <f>(V20/12*11*$E20*$F20*$G20*$L20)+(V20/12*1*$E20*$F20*$H20*$L20)</f>
        <v>3166272.0562666664</v>
      </c>
      <c r="X20" s="182"/>
      <c r="Y20" s="182">
        <v>0</v>
      </c>
      <c r="Z20" s="182"/>
      <c r="AA20" s="182">
        <v>0</v>
      </c>
      <c r="AB20" s="182"/>
      <c r="AC20" s="182">
        <f>(AB20*$E20*$F20*$G20*$L20)</f>
        <v>0</v>
      </c>
      <c r="AD20" s="182"/>
      <c r="AE20" s="182">
        <f>(AD20*$E20*$F20*$G20*$L20)</f>
        <v>0</v>
      </c>
      <c r="AF20" s="182"/>
      <c r="AG20" s="182"/>
      <c r="AH20" s="182"/>
      <c r="AI20" s="182">
        <f>(AH20*$E20*$F20*$G20*$L20)</f>
        <v>0</v>
      </c>
      <c r="AJ20" s="182"/>
      <c r="AK20" s="182"/>
      <c r="AL20" s="182"/>
      <c r="AM20" s="182"/>
      <c r="AN20" s="184"/>
      <c r="AO20" s="182">
        <f>(AN20*$E20*$F20*$G20*$L20)</f>
        <v>0</v>
      </c>
      <c r="AP20" s="182">
        <v>379</v>
      </c>
      <c r="AQ20" s="182">
        <f>(AP20/12*11*$E20*$F20*$G20*$L20)+(AP20/12*1*$E20*$F20*$H20*$L20)</f>
        <v>3986767.805066667</v>
      </c>
      <c r="AR20" s="185">
        <v>645</v>
      </c>
      <c r="AS20" s="182">
        <f>(AR20/12*11*$E20*$F20*$G20*$L20)+(AR20/12*1*$E20*$F20*$H20*$L20)</f>
        <v>6784868.6919999998</v>
      </c>
      <c r="AT20" s="182">
        <v>2</v>
      </c>
      <c r="AU20" s="183">
        <f>(AT20/12*11*$E20*$F20*$G20*$M20)+(AT20/12*1*$E20*$F20*$H20*$M20)</f>
        <v>25246.02304</v>
      </c>
      <c r="AV20" s="188"/>
      <c r="AW20" s="182">
        <f>(AV20*$E20*$F20*$G20*$M20)</f>
        <v>0</v>
      </c>
      <c r="AX20" s="182"/>
      <c r="AY20" s="187">
        <f>(AX20*$E20*$F20*$G20*$M20)</f>
        <v>0</v>
      </c>
      <c r="AZ20" s="182"/>
      <c r="BA20" s="182">
        <f>(AZ20*$E20*$F20*$G20*$L20*$AO$12)</f>
        <v>0</v>
      </c>
      <c r="BB20" s="182">
        <v>0</v>
      </c>
      <c r="BC20" s="182">
        <f>(BB20*$E20*$F20*$G20*$L20*BC$12)</f>
        <v>0</v>
      </c>
      <c r="BD20" s="182"/>
      <c r="BE20" s="182">
        <f>(BD20*$E20*$F20*$G20*$L20*BE$12)</f>
        <v>0</v>
      </c>
      <c r="BF20" s="182"/>
      <c r="BG20" s="182">
        <f>(BF20*$E20*$F20*$G20*$L20)</f>
        <v>0</v>
      </c>
      <c r="BH20" s="188">
        <v>1</v>
      </c>
      <c r="BI20" s="182">
        <v>10179.85</v>
      </c>
      <c r="BJ20" s="182"/>
      <c r="BK20" s="182"/>
      <c r="BL20" s="182">
        <v>15</v>
      </c>
      <c r="BM20" s="182">
        <f>(BL20/12*11*$E20*$F20*$G20*$L20)+(BL20/12*1*$E20*$F20*$H20*$L20)</f>
        <v>157787.644</v>
      </c>
      <c r="BN20" s="182">
        <v>26</v>
      </c>
      <c r="BO20" s="182">
        <f>(BN20/12*11*$E20*$F20*$G20*$M20)+(BN20/12*1*$E20*$F20*$H20*$M20)</f>
        <v>328198.29952</v>
      </c>
      <c r="BP20" s="182"/>
      <c r="BQ20" s="182">
        <f>(BP20*$E20*$F20*$G20*$M20)</f>
        <v>0</v>
      </c>
      <c r="BR20" s="188">
        <v>996</v>
      </c>
      <c r="BS20" s="182">
        <f>(BR20/12*11*$E20*$F20*$G20*$M20)+(BR20/12*1*$E20*$F20*$H20*$M20)</f>
        <v>12572519.473920001</v>
      </c>
      <c r="BT20" s="194">
        <v>100</v>
      </c>
      <c r="BU20" s="182">
        <f>(BT20/12*11*$E20*$F20*$G20*$M20)+(BT20/12*1*$E20*$F20*$H20*$M20)</f>
        <v>1262301.1520000002</v>
      </c>
      <c r="BV20" s="182">
        <v>3</v>
      </c>
      <c r="BW20" s="182">
        <f>(BV20/12*11*$E20*$F20*$G20*$M20)+(BV20/12*1*$E20*$F20*$H20*$M20)</f>
        <v>37869.03456</v>
      </c>
      <c r="BX20" s="182">
        <v>152</v>
      </c>
      <c r="BY20" s="182">
        <f>(BX20/12*11*$E20*$F20*$G20*$M20)+(BX20/12*1*$E20*$F20*$H20*$M20)</f>
        <v>1918697.7510399998</v>
      </c>
      <c r="BZ20" s="182">
        <v>163</v>
      </c>
      <c r="CA20" s="187">
        <f>(BZ20/12*11*$E20*$F20*$G20*$M20)+(BZ20/12*1*$E20*$F20*$H20*$M20)</f>
        <v>2057550.8777600005</v>
      </c>
      <c r="CB20" s="182"/>
      <c r="CC20" s="182">
        <f>(CB20*$E20*$F20*$G20*$L20)</f>
        <v>0</v>
      </c>
      <c r="CD20" s="182"/>
      <c r="CE20" s="182">
        <f>(CD20*$E20*$F20*$G20*$L20)</f>
        <v>0</v>
      </c>
      <c r="CF20" s="182"/>
      <c r="CG20" s="182">
        <f>(CF20*$E20*$F20*$G20*$L20)</f>
        <v>0</v>
      </c>
      <c r="CH20" s="182">
        <v>150</v>
      </c>
      <c r="CI20" s="182">
        <f>(CH20/12*11*$E20*$F20*$G20*$M20)+(CH20/12*1*$E20*$F20*$H20*$M20)</f>
        <v>1893451.7280000001</v>
      </c>
      <c r="CJ20" s="182"/>
      <c r="CK20" s="182">
        <f>(CJ20*$E20*$F20*$G20*$L20)</f>
        <v>0</v>
      </c>
      <c r="CL20" s="182"/>
      <c r="CM20" s="182">
        <f>(CL20*$E20*$F20*$G20*$L20)</f>
        <v>0</v>
      </c>
      <c r="CN20" s="182">
        <v>65</v>
      </c>
      <c r="CO20" s="182">
        <f>(CN20/12*11*$E20*$F20*$G20*$L20)+(CN20/12*1*$E20*$F20*$H20*$L20)</f>
        <v>683746.45733333344</v>
      </c>
      <c r="CP20" s="182">
        <v>88</v>
      </c>
      <c r="CQ20" s="182">
        <f>(CP20/12*11*$E20*$F20*$G20*$L20)+(CP20/12*1*$E20*$F20*$H20*$L20)</f>
        <v>925687.51146666671</v>
      </c>
      <c r="CR20" s="182"/>
      <c r="CS20" s="182">
        <f>(CR20*$E20*$F20*$G20*$L20)</f>
        <v>0</v>
      </c>
      <c r="CT20" s="182">
        <v>29</v>
      </c>
      <c r="CU20" s="182">
        <f>(CT20/12*11*$E20*$F20*$G20*$L20)+(CT20/12*1*$E20*$F20*$H20*$L20)</f>
        <v>305056.11173333332</v>
      </c>
      <c r="CV20" s="182">
        <v>153</v>
      </c>
      <c r="CW20" s="182">
        <v>1856804.6400000022</v>
      </c>
      <c r="CX20" s="182">
        <v>110</v>
      </c>
      <c r="CY20" s="182">
        <f>(CX20/12*11*$E20*$F20*$G20*$M20)+(CX20/12*1*$E20*$F20*$H20*$M20)</f>
        <v>1388531.2672000001</v>
      </c>
      <c r="CZ20" s="182"/>
      <c r="DA20" s="182">
        <v>0</v>
      </c>
      <c r="DB20" s="188"/>
      <c r="DC20" s="182">
        <f>(DB20*$E20*$F20*$G20*$M20)</f>
        <v>0</v>
      </c>
      <c r="DD20" s="182"/>
      <c r="DE20" s="187">
        <f>(DD20*$E20*$F20*$G20*$M20)</f>
        <v>0</v>
      </c>
      <c r="DF20" s="182"/>
      <c r="DG20" s="182"/>
      <c r="DH20" s="189">
        <f>ROUND(10*0.75,0)</f>
        <v>8</v>
      </c>
      <c r="DI20" s="182">
        <f>(DH20*$E20*$F20*$G20*$M20)</f>
        <v>97726.540800000002</v>
      </c>
      <c r="DJ20" s="182">
        <f>55-17</f>
        <v>38</v>
      </c>
      <c r="DK20" s="182">
        <f>(DJ20/12*11*$E20*$F20*$G20*$M20)+(DJ20/12*1*$E20*$F20*$H20*$M20)</f>
        <v>479674.43775999994</v>
      </c>
      <c r="DL20" s="182">
        <f>ROUND(6*0.75,0)</f>
        <v>5</v>
      </c>
      <c r="DM20" s="182">
        <f>(DL20*$E20*$F20*$G20*$N20)</f>
        <v>81075.218000000008</v>
      </c>
      <c r="DN20" s="182">
        <f>ROUND(45*0.75,0)</f>
        <v>34</v>
      </c>
      <c r="DO20" s="187">
        <f>(DN20*$E20*$F20*$G20*$O20)</f>
        <v>635367.94160000002</v>
      </c>
      <c r="DP20" s="187"/>
      <c r="DQ20" s="187"/>
      <c r="DR20" s="183">
        <f t="shared" si="9"/>
        <v>3882</v>
      </c>
      <c r="DS20" s="183">
        <f t="shared" si="9"/>
        <v>45062915.368800014</v>
      </c>
      <c r="DT20" s="182">
        <v>3898</v>
      </c>
      <c r="DU20" s="182">
        <v>43887142.924800001</v>
      </c>
      <c r="DV20" s="167">
        <f t="shared" si="5"/>
        <v>-16</v>
      </c>
      <c r="DW20" s="167">
        <f t="shared" si="5"/>
        <v>1175772.4440000132</v>
      </c>
    </row>
    <row r="21" spans="1:127" s="6" customFormat="1" ht="19.5" customHeight="1" x14ac:dyDescent="0.25">
      <c r="A21" s="154"/>
      <c r="B21" s="176">
        <v>4</v>
      </c>
      <c r="C21" s="177" t="s">
        <v>144</v>
      </c>
      <c r="D21" s="178" t="s">
        <v>145</v>
      </c>
      <c r="E21" s="158">
        <v>25969</v>
      </c>
      <c r="F21" s="179">
        <v>0.98</v>
      </c>
      <c r="G21" s="168">
        <v>1.3</v>
      </c>
      <c r="H21" s="168">
        <v>1.4</v>
      </c>
      <c r="I21" s="169">
        <v>1.3</v>
      </c>
      <c r="J21" s="169"/>
      <c r="K21" s="106"/>
      <c r="L21" s="180">
        <v>1.4</v>
      </c>
      <c r="M21" s="180">
        <v>1.68</v>
      </c>
      <c r="N21" s="180">
        <v>2.23</v>
      </c>
      <c r="O21" s="181">
        <v>2.57</v>
      </c>
      <c r="P21" s="182">
        <v>0</v>
      </c>
      <c r="Q21" s="182">
        <f t="shared" ref="Q21:Q22" si="10">(P21/12*11*$E21*$F21*$G21*$L21*$Q$12)+(P21/12*1*$E21*$F21*$H21*$L21*$Q$12)</f>
        <v>0</v>
      </c>
      <c r="R21" s="182"/>
      <c r="S21" s="182">
        <f>(R21*$E21*$F21*$G21*$L21*$S$12)</f>
        <v>0</v>
      </c>
      <c r="T21" s="182"/>
      <c r="U21" s="182">
        <f>(T21*$E21*$F21*$G21*$L21*$U$12)</f>
        <v>0</v>
      </c>
      <c r="V21" s="182">
        <v>1950</v>
      </c>
      <c r="W21" s="183">
        <f t="shared" ref="W21:W22" si="11">(V21*$E21*$F21*$G21*$L21*$W$12)/12*10+(V21*$E21*$F21*$G21*$L21*$W$13)/12*1+(V21*$E21*$F21*$H21*$L21*$W$14*$W$15)/12*1</f>
        <v>115683004.44636934</v>
      </c>
      <c r="X21" s="183"/>
      <c r="Y21" s="183">
        <v>0</v>
      </c>
      <c r="Z21" s="183"/>
      <c r="AA21" s="183">
        <v>0</v>
      </c>
      <c r="AB21" s="182">
        <f t="shared" ref="AB21:AC23" si="12">X21+Z21</f>
        <v>0</v>
      </c>
      <c r="AC21" s="182">
        <f t="shared" si="12"/>
        <v>0</v>
      </c>
      <c r="AD21" s="182"/>
      <c r="AE21" s="182">
        <f>(AD21*$E21*$F21*$G21*$L21*$AE$12)</f>
        <v>0</v>
      </c>
      <c r="AF21" s="182"/>
      <c r="AG21" s="182"/>
      <c r="AH21" s="182"/>
      <c r="AI21" s="182">
        <f>(AH21*$E21*$F21*$G21*$L21*$AI$12)</f>
        <v>0</v>
      </c>
      <c r="AJ21" s="182"/>
      <c r="AK21" s="182"/>
      <c r="AL21" s="182"/>
      <c r="AM21" s="182"/>
      <c r="AN21" s="184"/>
      <c r="AO21" s="182">
        <f>(AN21*$E21*$F21*$G21*$L21*$AO$12)</f>
        <v>0</v>
      </c>
      <c r="AP21" s="182"/>
      <c r="AQ21" s="183">
        <f>(AP21*$E21*$F21*$G21*$L21*$AQ$12)</f>
        <v>0</v>
      </c>
      <c r="AR21" s="192"/>
      <c r="AS21" s="182">
        <f t="shared" ref="AS21:AS22" si="13">(AR21*$E21*$F21*$G21*$L21*$AS$12)/12*10+(AR21*$E21*$F21*$G21*$L21*$AS$13)/12*2</f>
        <v>0</v>
      </c>
      <c r="AT21" s="182">
        <v>820</v>
      </c>
      <c r="AU21" s="182">
        <f t="shared" ref="AU21:AU22" si="14">(AT21*$E21*$F21*$G21*$M21*$AU$12)/12*10+(AT21*$E21*$F21*$G21*$M21*$AU$13)/12+(AT21*$E21*$F21*$H21*$M21*$AU$14*$AU$15)/12</f>
        <v>52984423.354422763</v>
      </c>
      <c r="AV21" s="188"/>
      <c r="AW21" s="182">
        <f>(AV21*$E21*$F21*$G21*$M21*$AW$12)</f>
        <v>0</v>
      </c>
      <c r="AX21" s="182"/>
      <c r="AY21" s="187">
        <f>(AX21*$E21*$F21*$G21*$M21*$AY$12)</f>
        <v>0</v>
      </c>
      <c r="AZ21" s="182"/>
      <c r="BA21" s="182">
        <f>(AZ21*$E21*$F21*$G21*$L21*$BA$12)</f>
        <v>0</v>
      </c>
      <c r="BB21" s="182">
        <v>0</v>
      </c>
      <c r="BC21" s="182">
        <f>(BB21*$E21*$F21*$G21*$L21*$BC$12)</f>
        <v>0</v>
      </c>
      <c r="BD21" s="182"/>
      <c r="BE21" s="182">
        <f>(BD21*$E21*$F21*$G21*$L21*$BE$12)</f>
        <v>0</v>
      </c>
      <c r="BF21" s="182">
        <v>625</v>
      </c>
      <c r="BG21" s="182">
        <f>(BF21*$E21*$F21*$G21*$L21*$BG$12)</f>
        <v>28948942.75</v>
      </c>
      <c r="BH21" s="188">
        <v>605</v>
      </c>
      <c r="BI21" s="183">
        <v>28004050.22999974</v>
      </c>
      <c r="BJ21" s="182">
        <f>952+491</f>
        <v>1443</v>
      </c>
      <c r="BK21" s="183">
        <f t="shared" ref="BK21:BK22" si="15">(BJ21/12*11*$E21*$F21*$G21*$L21*$BK$12)+(BJ21/12*1*$E21*$F21*$H21*$L21*$BK$14*$BK$15)</f>
        <v>70220678.950930282</v>
      </c>
      <c r="BL21" s="182">
        <v>59</v>
      </c>
      <c r="BM21" s="182">
        <f t="shared" ref="BM21:BM22" si="16">(BL21/12*11*$E21*$F21*$G21*$L21*$BM$12)+(BL21/12*1*$E21*$F21*$H21*$L21*$BM$12*$BM$15)</f>
        <v>3876825.4106978704</v>
      </c>
      <c r="BN21" s="182">
        <v>37</v>
      </c>
      <c r="BO21" s="182">
        <f>(BN21/12*11*$E21*$F21*$G21*$M21*$BO$12)+(BN21/12*1*$E21*$F21*$H21*$M21*$BO$12)</f>
        <v>2276687.3757320005</v>
      </c>
      <c r="BP21" s="182"/>
      <c r="BQ21" s="182">
        <f>(BP21*$E21*$F21*$G21*$M21*$BQ$12)</f>
        <v>0</v>
      </c>
      <c r="BR21" s="188">
        <v>705</v>
      </c>
      <c r="BS21" s="183">
        <f>(BR21/12*11*$E21*$F21*$G21*$M21*$BS$12)+(BR21/12*1*$E21*$F21*$H21*$M21*$BS$12)</f>
        <v>39436476.655799992</v>
      </c>
      <c r="BT21" s="182">
        <v>170</v>
      </c>
      <c r="BU21" s="182">
        <f t="shared" ref="BU21:BU22" si="17">(BT21*$E21*$F21*$G21*$M21*$BU$12)/12*10+(BT21*$E21*$F21*$G21*$M21*$BU$13)/12*1+(BT21*$E21*$F21*$H21*$M21*$BU$13*$BU$15)/12*1</f>
        <v>10657443.028712615</v>
      </c>
      <c r="BV21" s="182">
        <v>4</v>
      </c>
      <c r="BW21" s="182">
        <f>(BV21/12*11*$E21*$F21*$G21*$M21*$BW$12)+(BV21/12*1*$E21*$F21*$H21*$M21*$BW$12)</f>
        <v>201377.75313599996</v>
      </c>
      <c r="BX21" s="182">
        <v>150</v>
      </c>
      <c r="BY21" s="183">
        <f t="shared" ref="BY21:BY22" si="18">(BX21/12*11*$E21*$F21*$G21*$M21*$BY$12)+(BX21/12*1*$E21*$F21*$H21*$M21*$BY$12*$BY$15)</f>
        <v>11403829.760964479</v>
      </c>
      <c r="BZ21" s="182">
        <v>120</v>
      </c>
      <c r="CA21" s="187">
        <f t="shared" ref="CA21:CA22" si="19">(BZ21/12*11*$E21*$F21*$G21*$M21*$CA$12)+(BZ21/12*1*$E21*$F21*$H21*$M21*$CA$12*$CA$15)</f>
        <v>8823141.7880054377</v>
      </c>
      <c r="CB21" s="182"/>
      <c r="CC21" s="182">
        <f>(CB21*$E21*$F21*$G21*$L21*$CC$12)</f>
        <v>0</v>
      </c>
      <c r="CD21" s="182"/>
      <c r="CE21" s="182">
        <f>(CD21*$E21*$F21*$G21*$L21*$CE$12)</f>
        <v>0</v>
      </c>
      <c r="CF21" s="182"/>
      <c r="CG21" s="182">
        <f>(CF21*$E21*$F21*$G21*$L21*$CG$12)</f>
        <v>0</v>
      </c>
      <c r="CH21" s="182">
        <v>120</v>
      </c>
      <c r="CI21" s="182">
        <f t="shared" ref="CI21:CI22" si="20">(CH21/12*11*$E21*$F21*$G21*$M21*$CI$12)+(CH21/12*1*$E21*$F21*$H21*$M21*$CI$12*$CI$15)</f>
        <v>7534567.018388927</v>
      </c>
      <c r="CJ21" s="182"/>
      <c r="CK21" s="182">
        <f t="shared" ref="CK21:CK23" si="21">(CJ21*$E21*$F21*$G21*$L21*CK$12)</f>
        <v>0</v>
      </c>
      <c r="CL21" s="182"/>
      <c r="CM21" s="183">
        <f>(CL21*$E21*$F21*$G21*$L21*$CM$12)</f>
        <v>0</v>
      </c>
      <c r="CN21" s="182"/>
      <c r="CO21" s="183">
        <f>(CN21*$E21*$F21*$G21*$L21*$CO$12)</f>
        <v>0</v>
      </c>
      <c r="CP21" s="182">
        <v>60</v>
      </c>
      <c r="CQ21" s="182">
        <f t="shared" ref="CQ21:CQ22" si="22">(CP21/12*11*$E21*$F21*$G21*$L21*$CQ$12)+(CP21/12*1*$E21*$F21*$H21*$L21*$CQ$12*$CQ$15)</f>
        <v>3121101.4917958397</v>
      </c>
      <c r="CR21" s="182"/>
      <c r="CS21" s="182">
        <f>(CR21*$E21*$F21*$G21*$L21*$CS$12)</f>
        <v>0</v>
      </c>
      <c r="CT21" s="182">
        <v>94</v>
      </c>
      <c r="CU21" s="182">
        <f t="shared" ref="CU21:CU22" si="23">(CT21/12*11*$E21*$F21*$G21*$L21*$CU$12)+(CT21/12*1*$E21*$F21*$H21*$L21*$CU$12*$CU$15)</f>
        <v>4615287.9829956852</v>
      </c>
      <c r="CV21" s="182">
        <v>112</v>
      </c>
      <c r="CW21" s="182">
        <v>6225180.6399999978</v>
      </c>
      <c r="CX21" s="182">
        <v>125</v>
      </c>
      <c r="CY21" s="182">
        <f t="shared" ref="CY21:CY22" si="24">(CX21/12*11*$E21*$F21*$G21*$M21*$CY$12)+(CX21/12*1*$E21*$F21*$H21*$M21*$CY$12*CY$15)</f>
        <v>7584797.5848931987</v>
      </c>
      <c r="CZ21" s="182"/>
      <c r="DA21" s="182">
        <v>0</v>
      </c>
      <c r="DB21" s="188"/>
      <c r="DC21" s="182">
        <f>(DB21*$E21*$F21*$G21*$M21*$DC$12)</f>
        <v>0</v>
      </c>
      <c r="DD21" s="182"/>
      <c r="DE21" s="187">
        <f>(DD21*$E21*$F21*$G21*$M21*DE$12)</f>
        <v>0</v>
      </c>
      <c r="DF21" s="182"/>
      <c r="DG21" s="182">
        <f>(DF21*$E21*$F21*$G21*$M21*$DG$12)</f>
        <v>0</v>
      </c>
      <c r="DH21" s="189">
        <f>ROUND(1*0.75,0)</f>
        <v>1</v>
      </c>
      <c r="DI21" s="182">
        <f>(DH21*$E21*$F21*$G21*$M21*$DI$12)</f>
        <v>55581.970079999999</v>
      </c>
      <c r="DJ21" s="182"/>
      <c r="DK21" s="182">
        <f>(DJ21*$E21*$F21*$G21*$M21*$DK$12)</f>
        <v>0</v>
      </c>
      <c r="DL21" s="182">
        <f>ROUND(1*0.75,0)</f>
        <v>1</v>
      </c>
      <c r="DM21" s="182">
        <f>(DL21*$E21*$F21*$G21*$N21*$DM$12)</f>
        <v>73778.448380000002</v>
      </c>
      <c r="DN21" s="182">
        <f>ROUND(17*0.75,0)</f>
        <v>13</v>
      </c>
      <c r="DO21" s="190">
        <f>(DN21*$E21*$F21*$G21*$O21*$DO$12)</f>
        <v>1105353.34546</v>
      </c>
      <c r="DP21" s="191"/>
      <c r="DQ21" s="191"/>
      <c r="DR21" s="183">
        <f t="shared" si="9"/>
        <v>7214</v>
      </c>
      <c r="DS21" s="183">
        <f t="shared" si="9"/>
        <v>402832529.98676413</v>
      </c>
      <c r="DT21" s="182">
        <v>7273</v>
      </c>
      <c r="DU21" s="182">
        <v>393660098.08214378</v>
      </c>
      <c r="DV21" s="167">
        <f t="shared" si="5"/>
        <v>-59</v>
      </c>
      <c r="DW21" s="167">
        <f t="shared" si="5"/>
        <v>9172431.9046203494</v>
      </c>
    </row>
    <row r="22" spans="1:127" ht="19.5" customHeight="1" x14ac:dyDescent="0.25">
      <c r="A22" s="154"/>
      <c r="B22" s="176">
        <v>5</v>
      </c>
      <c r="C22" s="177" t="s">
        <v>146</v>
      </c>
      <c r="D22" s="178" t="s">
        <v>147</v>
      </c>
      <c r="E22" s="158">
        <v>25969</v>
      </c>
      <c r="F22" s="180">
        <v>1.01</v>
      </c>
      <c r="G22" s="168">
        <v>1.3</v>
      </c>
      <c r="H22" s="168">
        <v>1.4</v>
      </c>
      <c r="I22" s="169">
        <v>1.3</v>
      </c>
      <c r="J22" s="169"/>
      <c r="K22" s="106"/>
      <c r="L22" s="180">
        <v>1.4</v>
      </c>
      <c r="M22" s="180">
        <v>1.68</v>
      </c>
      <c r="N22" s="180">
        <v>2.23</v>
      </c>
      <c r="O22" s="181">
        <v>2.57</v>
      </c>
      <c r="P22" s="182">
        <v>2</v>
      </c>
      <c r="Q22" s="182">
        <f t="shared" si="10"/>
        <v>105692.87780333334</v>
      </c>
      <c r="R22" s="182"/>
      <c r="S22" s="182">
        <f>(R22*$E22*$F22*$G22*$L22*$S$12)</f>
        <v>0</v>
      </c>
      <c r="T22" s="182"/>
      <c r="U22" s="182">
        <f>(T22*$E22*$F22*$G22*$L22*$U$12)</f>
        <v>0</v>
      </c>
      <c r="V22" s="182">
        <v>1450</v>
      </c>
      <c r="W22" s="183">
        <f t="shared" si="11"/>
        <v>88653982.21439451</v>
      </c>
      <c r="X22" s="183"/>
      <c r="Y22" s="183">
        <v>0</v>
      </c>
      <c r="Z22" s="183"/>
      <c r="AA22" s="183">
        <v>0</v>
      </c>
      <c r="AB22" s="182">
        <f t="shared" si="12"/>
        <v>0</v>
      </c>
      <c r="AC22" s="182">
        <f t="shared" si="12"/>
        <v>0</v>
      </c>
      <c r="AD22" s="182"/>
      <c r="AE22" s="182">
        <f>(AD22*$E22*$F22*$G22*$L22*$AE$12)</f>
        <v>0</v>
      </c>
      <c r="AF22" s="182"/>
      <c r="AG22" s="182"/>
      <c r="AH22" s="182"/>
      <c r="AI22" s="182">
        <f>(AH22*$E22*$F22*$G22*$L22*$AI$12)</f>
        <v>0</v>
      </c>
      <c r="AJ22" s="182"/>
      <c r="AK22" s="182"/>
      <c r="AL22" s="182"/>
      <c r="AM22" s="182"/>
      <c r="AN22" s="184"/>
      <c r="AO22" s="182">
        <f>(AN22*$E22*$F22*$G22*$L22*$AO$12)</f>
        <v>0</v>
      </c>
      <c r="AP22" s="182"/>
      <c r="AQ22" s="183">
        <f>(AP22*$E22*$F22*$G22*$L22*$AQ$12)</f>
        <v>0</v>
      </c>
      <c r="AR22" s="192"/>
      <c r="AS22" s="182">
        <f t="shared" si="13"/>
        <v>0</v>
      </c>
      <c r="AT22" s="182">
        <v>465</v>
      </c>
      <c r="AU22" s="182">
        <f t="shared" si="14"/>
        <v>30965821.837238245</v>
      </c>
      <c r="AV22" s="188"/>
      <c r="AW22" s="182">
        <f>(AV22*$E22*$F22*$G22*$M22*$AW$12)</f>
        <v>0</v>
      </c>
      <c r="AX22" s="182"/>
      <c r="AY22" s="187">
        <f>(AX22*$E22*$F22*$G22*$M22*$AY$12)</f>
        <v>0</v>
      </c>
      <c r="AZ22" s="182"/>
      <c r="BA22" s="182">
        <f>(AZ22*$E22*$F22*$G22*$L22*$BA$12)</f>
        <v>0</v>
      </c>
      <c r="BB22" s="182">
        <v>0</v>
      </c>
      <c r="BC22" s="182">
        <f>(BB22*$E22*$F22*$G22*$L22*$BC$12)</f>
        <v>0</v>
      </c>
      <c r="BD22" s="182"/>
      <c r="BE22" s="182">
        <f>(BD22*$E22*$F22*$G22*$L22*$BE$12)</f>
        <v>0</v>
      </c>
      <c r="BF22" s="182">
        <v>446</v>
      </c>
      <c r="BG22" s="182">
        <f>(BF22*$E22*$F22*$G22*$L22*$BG$12)</f>
        <v>21290352.246800002</v>
      </c>
      <c r="BH22" s="188">
        <v>274</v>
      </c>
      <c r="BI22" s="183">
        <v>13067030.040000051</v>
      </c>
      <c r="BJ22" s="182">
        <f>408+272</f>
        <v>680</v>
      </c>
      <c r="BK22" s="183">
        <f t="shared" si="15"/>
        <v>34103810.304141685</v>
      </c>
      <c r="BL22" s="182">
        <v>61</v>
      </c>
      <c r="BM22" s="182">
        <f t="shared" si="16"/>
        <v>4130944.5443288791</v>
      </c>
      <c r="BN22" s="182">
        <v>14</v>
      </c>
      <c r="BO22" s="182">
        <f>(BN22/12*11*$E22*$F22*$G22*$M22*$BO$12)+(BN22/12*1*$E22*$F22*$H22*$M22*$BO$12)</f>
        <v>887820.17354800017</v>
      </c>
      <c r="BP22" s="182"/>
      <c r="BQ22" s="182">
        <f>(BP22*$E22*$F22*$G22*$M22*$BQ$12)</f>
        <v>0</v>
      </c>
      <c r="BR22" s="188">
        <f>370-1</f>
        <v>369</v>
      </c>
      <c r="BS22" s="183">
        <f>(BR22/12*11*$E22*$F22*$G22*$M22*$BS$12)+(BR22/12*1*$E22*$F22*$H22*$M22*$BS$12)</f>
        <v>21273093.768780001</v>
      </c>
      <c r="BT22" s="182">
        <v>30</v>
      </c>
      <c r="BU22" s="182">
        <f t="shared" si="17"/>
        <v>1938298.4620047552</v>
      </c>
      <c r="BV22" s="182"/>
      <c r="BW22" s="182">
        <f>(BV22*$E22*$F22*$G22*$M22*$BW$12)</f>
        <v>0</v>
      </c>
      <c r="BX22" s="182">
        <v>53</v>
      </c>
      <c r="BY22" s="183">
        <f t="shared" si="18"/>
        <v>4152700.7286015558</v>
      </c>
      <c r="BZ22" s="182">
        <v>78</v>
      </c>
      <c r="CA22" s="187">
        <f t="shared" si="19"/>
        <v>5910604.6773730312</v>
      </c>
      <c r="CB22" s="182"/>
      <c r="CC22" s="182">
        <f>(CB22*$E22*$F22*$G22*$L22*$CC$12)</f>
        <v>0</v>
      </c>
      <c r="CD22" s="182"/>
      <c r="CE22" s="182">
        <f>(CD22*$E22*$F22*$G22*$L22*$CE$12)</f>
        <v>0</v>
      </c>
      <c r="CF22" s="182"/>
      <c r="CG22" s="182">
        <f>(CF22*$E22*$F22*$G22*$L22*$CG$12)</f>
        <v>0</v>
      </c>
      <c r="CH22" s="182">
        <v>6</v>
      </c>
      <c r="CI22" s="182">
        <f t="shared" si="20"/>
        <v>388260.85145779682</v>
      </c>
      <c r="CJ22" s="182"/>
      <c r="CK22" s="182">
        <f t="shared" si="21"/>
        <v>0</v>
      </c>
      <c r="CL22" s="182"/>
      <c r="CM22" s="183">
        <f>(CL22*$E22*$F22*$G22*$L22*$CM$12)</f>
        <v>0</v>
      </c>
      <c r="CN22" s="182"/>
      <c r="CO22" s="183">
        <f>(CN22*$E22*$F22*$G22*$L22*$CO$12)</f>
        <v>0</v>
      </c>
      <c r="CP22" s="182">
        <v>10</v>
      </c>
      <c r="CQ22" s="182">
        <f t="shared" si="22"/>
        <v>536107.5691690133</v>
      </c>
      <c r="CR22" s="182"/>
      <c r="CS22" s="182">
        <f>(CR22*$E22*$F22*$G22*$L22*$CS$12)</f>
        <v>0</v>
      </c>
      <c r="CT22" s="182">
        <v>12</v>
      </c>
      <c r="CU22" s="182">
        <f t="shared" si="23"/>
        <v>607221.99689435202</v>
      </c>
      <c r="CV22" s="182">
        <v>41</v>
      </c>
      <c r="CW22" s="182">
        <v>2340029.3399999989</v>
      </c>
      <c r="CX22" s="182">
        <v>15</v>
      </c>
      <c r="CY22" s="182">
        <f t="shared" si="24"/>
        <v>938038.23192760791</v>
      </c>
      <c r="CZ22" s="182"/>
      <c r="DA22" s="182">
        <v>0</v>
      </c>
      <c r="DB22" s="188"/>
      <c r="DC22" s="182">
        <f>(DB22*$E22*$F22*$G22*$M22*$DC$12)</f>
        <v>0</v>
      </c>
      <c r="DD22" s="182"/>
      <c r="DE22" s="187">
        <f t="shared" ref="DE22:DE23" si="25">(DD22*$E22*$F22*$G22*$M22*DE$12)</f>
        <v>0</v>
      </c>
      <c r="DF22" s="182"/>
      <c r="DG22" s="182">
        <f>(DF22*$E22*$F22*$G22*$M22*$DG$12)</f>
        <v>0</v>
      </c>
      <c r="DH22" s="189"/>
      <c r="DI22" s="182">
        <f>(DH22*$E22*$F22*$G22*$M22*$DI$12)</f>
        <v>0</v>
      </c>
      <c r="DJ22" s="182">
        <v>8</v>
      </c>
      <c r="DK22" s="182">
        <f>(DJ22/12*11*$E22*$F22*$G22*$M22*$DK$12)+(DJ22/12*1*$E22*$F22*$H22*$M22*$DK$12*$DK$15)</f>
        <v>505469.82938569598</v>
      </c>
      <c r="DL22" s="182"/>
      <c r="DM22" s="182">
        <f>(DL22*$E22*$F22*$G22*$N22*$DM$12)</f>
        <v>0</v>
      </c>
      <c r="DN22" s="182">
        <f>ROUND(3*0.75,0)</f>
        <v>2</v>
      </c>
      <c r="DO22" s="190">
        <f>(DN22*$E22*$F22*$G22*$O22*$DO$12)</f>
        <v>175260.10657999999</v>
      </c>
      <c r="DP22" s="191"/>
      <c r="DQ22" s="191"/>
      <c r="DR22" s="183">
        <f t="shared" si="9"/>
        <v>4016</v>
      </c>
      <c r="DS22" s="183">
        <f t="shared" si="9"/>
        <v>231970539.80042851</v>
      </c>
      <c r="DT22" s="182">
        <v>4017</v>
      </c>
      <c r="DU22" s="182">
        <v>226143744.08671272</v>
      </c>
      <c r="DV22" s="167">
        <f t="shared" si="5"/>
        <v>-1</v>
      </c>
      <c r="DW22" s="167">
        <f t="shared" si="5"/>
        <v>5826795.7137157917</v>
      </c>
    </row>
    <row r="23" spans="1:127" ht="24" customHeight="1" x14ac:dyDescent="0.25">
      <c r="A23" s="154"/>
      <c r="B23" s="176">
        <v>6</v>
      </c>
      <c r="C23" s="177" t="s">
        <v>148</v>
      </c>
      <c r="D23" s="178" t="s">
        <v>149</v>
      </c>
      <c r="E23" s="158">
        <v>25969</v>
      </c>
      <c r="F23" s="179">
        <v>0.74</v>
      </c>
      <c r="G23" s="168">
        <v>1.1499999999999999</v>
      </c>
      <c r="H23" s="169"/>
      <c r="I23" s="169"/>
      <c r="J23" s="169"/>
      <c r="K23" s="106"/>
      <c r="L23" s="180">
        <v>1.4</v>
      </c>
      <c r="M23" s="180">
        <v>1.68</v>
      </c>
      <c r="N23" s="180">
        <v>2.23</v>
      </c>
      <c r="O23" s="181">
        <v>2.57</v>
      </c>
      <c r="P23" s="182">
        <v>5</v>
      </c>
      <c r="Q23" s="182">
        <f>(P23*$E23*$F23*$G23*$L23*$Q$12)</f>
        <v>170167.06630000001</v>
      </c>
      <c r="R23" s="182">
        <v>1</v>
      </c>
      <c r="S23" s="182">
        <f>(R23*$E23*$F23*$G23*$L23*$S$12)</f>
        <v>34033.413260000001</v>
      </c>
      <c r="T23" s="182"/>
      <c r="U23" s="182">
        <f>(T23*$E23*$F23*$G23*$L23*$U$12)</f>
        <v>0</v>
      </c>
      <c r="V23" s="182">
        <v>65</v>
      </c>
      <c r="W23" s="183">
        <f>(V23*$E23*$F23*$G23*$L23*$W$12)/12*10+(V23*$E23*$F23*$G23*$L23*$W$13)/12*1+(V23*$E23*$F23*$G23*$L23*$W$14*$W$15)/12*1</f>
        <v>2557587.0799681619</v>
      </c>
      <c r="X23" s="183"/>
      <c r="Y23" s="183">
        <v>0</v>
      </c>
      <c r="Z23" s="183"/>
      <c r="AA23" s="183">
        <v>0</v>
      </c>
      <c r="AB23" s="182">
        <f t="shared" si="12"/>
        <v>0</v>
      </c>
      <c r="AC23" s="182">
        <f t="shared" si="12"/>
        <v>0</v>
      </c>
      <c r="AD23" s="182"/>
      <c r="AE23" s="182">
        <f>(AD23*$E23*$F23*$G23*$L23*$AE$12)</f>
        <v>0</v>
      </c>
      <c r="AF23" s="182"/>
      <c r="AG23" s="182"/>
      <c r="AH23" s="182"/>
      <c r="AI23" s="182">
        <f>(AH23*$E23*$F23*$G23*$L23*$AI$12)</f>
        <v>0</v>
      </c>
      <c r="AJ23" s="182"/>
      <c r="AK23" s="182"/>
      <c r="AL23" s="182"/>
      <c r="AM23" s="182"/>
      <c r="AN23" s="184"/>
      <c r="AO23" s="182">
        <f>(AN23*$E23*$F23*$G23*$L23*$AO$12)</f>
        <v>0</v>
      </c>
      <c r="AP23" s="182">
        <v>5</v>
      </c>
      <c r="AQ23" s="183">
        <f>(AP23*$E23*$F23*$G23*$L23*$AQ$12)</f>
        <v>170167.06630000001</v>
      </c>
      <c r="AR23" s="192">
        <v>2</v>
      </c>
      <c r="AS23" s="182">
        <f>(AR23*$E23*$F23*$G23*$L23*$AS$12)/12*10+(AR23*$E23*$F23*$G23*$L23*$AS$13)/12*1+(AR23*$E23*$F23*$L23*$G23*$AS$14*$AS$15)/12*1</f>
        <v>73480.201859446664</v>
      </c>
      <c r="AT23" s="182">
        <v>9</v>
      </c>
      <c r="AU23" s="182">
        <f>(AT23*$E23*$F23*$G23*$M23*$AU$12)/12*10+(AT23*$E23*$F23*$G23*$M23*$AU$13)/12+(AT23*$E23*$F23*$G23*$M23*$AU$14*$AU$15)/12</f>
        <v>385069.95907315233</v>
      </c>
      <c r="AV23" s="188"/>
      <c r="AW23" s="182">
        <f>(AV23*$E23*$F23*$G23*$M23*$AW$12)</f>
        <v>0</v>
      </c>
      <c r="AX23" s="182"/>
      <c r="AY23" s="187">
        <f>(AX23*$E23*$F23*$G23*$M23*$AY$12)</f>
        <v>0</v>
      </c>
      <c r="AZ23" s="182"/>
      <c r="BA23" s="182">
        <f>(AZ23*$E23*$F23*$G23*$L23*$BA$12)</f>
        <v>0</v>
      </c>
      <c r="BB23" s="182">
        <v>0</v>
      </c>
      <c r="BC23" s="182">
        <f>(BB23*$E23*$F23*$G23*$L23*$BC$12)</f>
        <v>0</v>
      </c>
      <c r="BD23" s="182"/>
      <c r="BE23" s="182">
        <f>(BD23*$E23*$F23*$G23*$L23*$BE$12)</f>
        <v>0</v>
      </c>
      <c r="BF23" s="182"/>
      <c r="BG23" s="182">
        <f>(BF23*$E23*$F23*$G23*$L23*$BG$12)</f>
        <v>0</v>
      </c>
      <c r="BH23" s="182"/>
      <c r="BI23" s="183">
        <f>(BH23*$E23*$F23*$G23*$L23*$BI$12)</f>
        <v>0</v>
      </c>
      <c r="BJ23" s="182"/>
      <c r="BK23" s="183">
        <f>(BJ23*$E23*$F23*$G23*$L23*$BK$12)</f>
        <v>0</v>
      </c>
      <c r="BL23" s="182"/>
      <c r="BM23" s="182">
        <f>(BL23*$E23*$F23*$G23*$L23*$BM$12)</f>
        <v>0</v>
      </c>
      <c r="BN23" s="182"/>
      <c r="BO23" s="182">
        <f>(BN23*$E23*$F23*$G23*$M23*$BO$12)</f>
        <v>0</v>
      </c>
      <c r="BP23" s="182"/>
      <c r="BQ23" s="182">
        <f>(BP23*$E23*$F23*$G23*$M23*$BQ$12)</f>
        <v>0</v>
      </c>
      <c r="BR23" s="188">
        <v>50</v>
      </c>
      <c r="BS23" s="183">
        <f>(BR23*$E23*$F23*$G23*$M23*$BS$12)</f>
        <v>1856367.9959999998</v>
      </c>
      <c r="BT23" s="182"/>
      <c r="BU23" s="182">
        <f t="shared" ref="BU23" si="26">(BT23*$E23*$F23*$G23*$M23*$BU$12)/12*10+(BT23*$E23*$F23*$G23*$M23*$BU$13)/12*2</f>
        <v>0</v>
      </c>
      <c r="BV23" s="182"/>
      <c r="BW23" s="182">
        <f>(BV23*$E23*$F23*$G23*$M23*$BW$12)</f>
        <v>0</v>
      </c>
      <c r="BX23" s="182">
        <v>4</v>
      </c>
      <c r="BY23" s="183">
        <f>(BX23*$E23*$F23*$G23*$M23*$BY$12)/12*11+(BX23*$E23*$F23*$G23*$M23*$BY$12*$BY$15)/12</f>
        <v>200291.71110762237</v>
      </c>
      <c r="BZ23" s="182">
        <v>1</v>
      </c>
      <c r="CA23" s="187">
        <f>(BZ23*$E23*$F23*$G23*$M23*$CA$12)/12*11+(BZ23*$E23*$F23*$G23*$M23*$CA$12*$CA$15)/12</f>
        <v>48522.674863445995</v>
      </c>
      <c r="CB23" s="182"/>
      <c r="CC23" s="182">
        <f>(CB23*$E23*$F23*$G23*$L23*$CC$12)</f>
        <v>0</v>
      </c>
      <c r="CD23" s="182"/>
      <c r="CE23" s="182">
        <f>(CD23*$E23*$F23*$G23*$L23*$CE$12)</f>
        <v>0</v>
      </c>
      <c r="CF23" s="182"/>
      <c r="CG23" s="182">
        <f>(CF23*$E23*$F23*$G23*$L23*$CG$12)</f>
        <v>0</v>
      </c>
      <c r="CH23" s="182">
        <v>3</v>
      </c>
      <c r="CI23" s="182">
        <f>(CH23*$E23*$F23*$G23*$M23*$CI$12)/12*11+(CH23*$E23*$F23*$G23*$M23*$CI$12*$CI$15)/12</f>
        <v>124128.08805733558</v>
      </c>
      <c r="CJ23" s="182"/>
      <c r="CK23" s="182">
        <f t="shared" si="21"/>
        <v>0</v>
      </c>
      <c r="CL23" s="182"/>
      <c r="CM23" s="183">
        <f>(CL23*$E23*$F23*$G23*$L23*$CM$12)</f>
        <v>0</v>
      </c>
      <c r="CN23" s="182"/>
      <c r="CO23" s="183">
        <f>(CN23*$E23*$F23*$G23*$L23*$CO$12)</f>
        <v>0</v>
      </c>
      <c r="CP23" s="182"/>
      <c r="CQ23" s="182">
        <f>(CP23*$E23*$F23*$G23*$L23*$CQ$12)</f>
        <v>0</v>
      </c>
      <c r="CR23" s="182"/>
      <c r="CS23" s="182">
        <f>(CR23*$E23*$F23*$G23*$L23*$CS$12)</f>
        <v>0</v>
      </c>
      <c r="CT23" s="182"/>
      <c r="CU23" s="182">
        <f>(CT23*$E23*$F23*$G23*$L23*$CU$12)</f>
        <v>0</v>
      </c>
      <c r="CV23" s="182">
        <v>1</v>
      </c>
      <c r="CW23" s="182">
        <v>37127.360000000001</v>
      </c>
      <c r="CX23" s="182">
        <v>5</v>
      </c>
      <c r="CY23" s="182">
        <f>(CX23/12*11*$E23*$F23*$G23*$M23*$CY$12)+(CX23/12*$E23*$F23*$G23*$M23*$CY$15*$CY$12)</f>
        <v>200337.37776032399</v>
      </c>
      <c r="CZ23" s="182"/>
      <c r="DA23" s="182">
        <v>0</v>
      </c>
      <c r="DB23" s="188"/>
      <c r="DC23" s="182">
        <f>(DB23*$E23*$F23*$G23*$M23*$DC$12)</f>
        <v>0</v>
      </c>
      <c r="DD23" s="182"/>
      <c r="DE23" s="187">
        <f t="shared" si="25"/>
        <v>0</v>
      </c>
      <c r="DF23" s="182"/>
      <c r="DG23" s="182">
        <f>(DF23*$E23*$F23*$G23*$M23*$DG$12)</f>
        <v>0</v>
      </c>
      <c r="DH23" s="189"/>
      <c r="DI23" s="182">
        <f>(DH23*$E23*$F23*$G23*$M23*$DI$12)</f>
        <v>0</v>
      </c>
      <c r="DJ23" s="182"/>
      <c r="DK23" s="182">
        <f>(DJ23*$E23*$F23*$G23*$M23*$DK$12)</f>
        <v>0</v>
      </c>
      <c r="DL23" s="182"/>
      <c r="DM23" s="182">
        <f>(DL23*$E23*$F23*$G23*$N23*$DM$12)</f>
        <v>0</v>
      </c>
      <c r="DN23" s="182"/>
      <c r="DO23" s="190">
        <f>(DN23*$E23*$F23*$G23*$O23*$DO$12)</f>
        <v>0</v>
      </c>
      <c r="DP23" s="187"/>
      <c r="DQ23" s="187"/>
      <c r="DR23" s="183">
        <f t="shared" si="9"/>
        <v>151</v>
      </c>
      <c r="DS23" s="183">
        <f t="shared" si="9"/>
        <v>5857279.9945494877</v>
      </c>
      <c r="DT23" s="182">
        <v>151</v>
      </c>
      <c r="DU23" s="182">
        <v>5781554.9920666646</v>
      </c>
      <c r="DV23" s="167">
        <f t="shared" si="5"/>
        <v>0</v>
      </c>
      <c r="DW23" s="167">
        <f t="shared" si="5"/>
        <v>75725.002482823096</v>
      </c>
    </row>
    <row r="24" spans="1:127" s="193" customFormat="1" ht="18" customHeight="1" x14ac:dyDescent="0.25">
      <c r="A24" s="154"/>
      <c r="B24" s="176">
        <v>7</v>
      </c>
      <c r="C24" s="177" t="s">
        <v>150</v>
      </c>
      <c r="D24" s="178" t="s">
        <v>151</v>
      </c>
      <c r="E24" s="158">
        <v>25969</v>
      </c>
      <c r="F24" s="179">
        <v>3.21</v>
      </c>
      <c r="G24" s="168">
        <v>1</v>
      </c>
      <c r="H24" s="169"/>
      <c r="I24" s="169"/>
      <c r="J24" s="169"/>
      <c r="K24" s="106"/>
      <c r="L24" s="180">
        <v>1.4</v>
      </c>
      <c r="M24" s="180">
        <v>1.68</v>
      </c>
      <c r="N24" s="180">
        <v>2.23</v>
      </c>
      <c r="O24" s="181">
        <v>2.57</v>
      </c>
      <c r="P24" s="182">
        <v>1</v>
      </c>
      <c r="Q24" s="182">
        <f>(P24*$E24*$F24*$G24*$L24)</f>
        <v>116704.686</v>
      </c>
      <c r="R24" s="182"/>
      <c r="S24" s="187">
        <f>(R24*$E24*$F24*$G24*$L24)</f>
        <v>0</v>
      </c>
      <c r="T24" s="182"/>
      <c r="U24" s="182">
        <f>(T24*$E24*$F24*$G24*$L24)</f>
        <v>0</v>
      </c>
      <c r="V24" s="182">
        <v>8</v>
      </c>
      <c r="W24" s="182">
        <f>(V24*$E24*$F24*$G24*$L24)</f>
        <v>933637.48800000001</v>
      </c>
      <c r="X24" s="182"/>
      <c r="Y24" s="182">
        <v>0</v>
      </c>
      <c r="Z24" s="182"/>
      <c r="AA24" s="182">
        <v>0</v>
      </c>
      <c r="AB24" s="182"/>
      <c r="AC24" s="182">
        <f>(AB24*$E24*$F24*$G24*$L24)</f>
        <v>0</v>
      </c>
      <c r="AD24" s="182"/>
      <c r="AE24" s="182">
        <f>(AD24*$E24*$F24*$G24*$L24)</f>
        <v>0</v>
      </c>
      <c r="AF24" s="182"/>
      <c r="AG24" s="182"/>
      <c r="AH24" s="182"/>
      <c r="AI24" s="182">
        <f>(AH24*$E24*$F24*$G24*$L24)</f>
        <v>0</v>
      </c>
      <c r="AJ24" s="182"/>
      <c r="AK24" s="182"/>
      <c r="AL24" s="182"/>
      <c r="AM24" s="182"/>
      <c r="AN24" s="184"/>
      <c r="AO24" s="182">
        <f>(AN24*$E24*$F24*$G24*$L24)</f>
        <v>0</v>
      </c>
      <c r="AP24" s="182">
        <v>2</v>
      </c>
      <c r="AQ24" s="182">
        <f>(AP24*$E24*$F24*$G24*$L24)</f>
        <v>233409.372</v>
      </c>
      <c r="AR24" s="192"/>
      <c r="AS24" s="182">
        <f>(AR24*$E24*$F24*$G24*$L24)</f>
        <v>0</v>
      </c>
      <c r="AT24" s="182"/>
      <c r="AU24" s="183">
        <f>(AT24*$E24*$F24*$G24*$M24)</f>
        <v>0</v>
      </c>
      <c r="AV24" s="188"/>
      <c r="AW24" s="182">
        <f>(AV24*$E24*$F24*$G24*$M24)</f>
        <v>0</v>
      </c>
      <c r="AX24" s="182"/>
      <c r="AY24" s="187">
        <f>(AX24*$E24*$F24*$G24*$M24)</f>
        <v>0</v>
      </c>
      <c r="AZ24" s="182"/>
      <c r="BA24" s="182">
        <f>(AZ24*$E24*$F24*$G24*$L24*AO$12)</f>
        <v>0</v>
      </c>
      <c r="BB24" s="182">
        <v>0</v>
      </c>
      <c r="BC24" s="182">
        <f>(BB24*$E24*$F24*$G24*$L24*AQ$12)</f>
        <v>0</v>
      </c>
      <c r="BD24" s="182"/>
      <c r="BE24" s="182">
        <f>(BD24*$E24*$F24*$G24*$L24*BE$12)</f>
        <v>0</v>
      </c>
      <c r="BF24" s="182"/>
      <c r="BG24" s="182">
        <f>(BF24*$E24*$F24*$G24*$L24)</f>
        <v>0</v>
      </c>
      <c r="BH24" s="182"/>
      <c r="BI24" s="182">
        <f>(BH24*$E24*$F24*$G24*$L24)</f>
        <v>0</v>
      </c>
      <c r="BJ24" s="182"/>
      <c r="BK24" s="182"/>
      <c r="BL24" s="182"/>
      <c r="BM24" s="182">
        <f>(BL24*$E24*$F24*$G24*$L24)</f>
        <v>0</v>
      </c>
      <c r="BN24" s="182"/>
      <c r="BO24" s="182">
        <f>(BN24*$E24*$F24*$G24*$M24)</f>
        <v>0</v>
      </c>
      <c r="BP24" s="182"/>
      <c r="BQ24" s="182">
        <f>(BP24*$E24*$F24*$G24*$M24)</f>
        <v>0</v>
      </c>
      <c r="BR24" s="188"/>
      <c r="BS24" s="182">
        <f>(BR24*$E24*$F24*$G24*$M24)</f>
        <v>0</v>
      </c>
      <c r="BT24" s="182"/>
      <c r="BU24" s="182">
        <f>(BT24*$E24*$F24*$G24*$M24)</f>
        <v>0</v>
      </c>
      <c r="BV24" s="182"/>
      <c r="BW24" s="182">
        <f>(BV24*$E24*$F24*$G24*$M24)</f>
        <v>0</v>
      </c>
      <c r="BX24" s="182"/>
      <c r="BY24" s="182">
        <f>(BX24*$E24*$F24*$G24*$M24)</f>
        <v>0</v>
      </c>
      <c r="BZ24" s="182"/>
      <c r="CA24" s="187">
        <f>(BZ24*$E24*$F24*$G24*$M24)</f>
        <v>0</v>
      </c>
      <c r="CB24" s="182"/>
      <c r="CC24" s="182">
        <f>(CB24*$E24*$F24*$G24*$L24)</f>
        <v>0</v>
      </c>
      <c r="CD24" s="182"/>
      <c r="CE24" s="182">
        <f>(CD24*$E24*$F24*$G24*$L24)</f>
        <v>0</v>
      </c>
      <c r="CF24" s="182"/>
      <c r="CG24" s="182">
        <f>(CF24*$E24*$F24*$G24*$L24)</f>
        <v>0</v>
      </c>
      <c r="CH24" s="182"/>
      <c r="CI24" s="182">
        <f>(CH24*$E24*$F24*$G24*$M24)</f>
        <v>0</v>
      </c>
      <c r="CJ24" s="182"/>
      <c r="CK24" s="182">
        <f>(CJ24*$E24*$F24*$G24*$L24)</f>
        <v>0</v>
      </c>
      <c r="CL24" s="182"/>
      <c r="CM24" s="182">
        <f>(CL24*$E24*$F24*$G24*$L24)</f>
        <v>0</v>
      </c>
      <c r="CN24" s="182"/>
      <c r="CO24" s="182">
        <f>(CN24*$E24*$F24*$G24*$L24)</f>
        <v>0</v>
      </c>
      <c r="CP24" s="182"/>
      <c r="CQ24" s="182">
        <f>(CP24*$E24*$F24*$G24*$L24)</f>
        <v>0</v>
      </c>
      <c r="CR24" s="182"/>
      <c r="CS24" s="182">
        <f>(CR24*$E24*$F24*$G24*$L24)</f>
        <v>0</v>
      </c>
      <c r="CT24" s="182"/>
      <c r="CU24" s="182">
        <f>(CT24*$E24*$F24*$G24*$L24)</f>
        <v>0</v>
      </c>
      <c r="CV24" s="182"/>
      <c r="CW24" s="182">
        <v>0</v>
      </c>
      <c r="CX24" s="182"/>
      <c r="CY24" s="182">
        <f>(CX24*$E24*$F24*$G24*$M24)</f>
        <v>0</v>
      </c>
      <c r="CZ24" s="182"/>
      <c r="DA24" s="182">
        <v>0</v>
      </c>
      <c r="DB24" s="188"/>
      <c r="DC24" s="182">
        <f>(DB24*$E24*$F24*$G24*$M24)</f>
        <v>0</v>
      </c>
      <c r="DD24" s="182"/>
      <c r="DE24" s="187">
        <f>(DD24*$E24*$F24*$G24*$M24)</f>
        <v>0</v>
      </c>
      <c r="DF24" s="182"/>
      <c r="DG24" s="182"/>
      <c r="DH24" s="189"/>
      <c r="DI24" s="182">
        <f>(DH24*$E24*$F24*$G24*$M24)</f>
        <v>0</v>
      </c>
      <c r="DJ24" s="182"/>
      <c r="DK24" s="182">
        <f>(DJ24*$E24*$F24*$G24*$M24)</f>
        <v>0</v>
      </c>
      <c r="DL24" s="182"/>
      <c r="DM24" s="182">
        <f>(DL24*$E24*$F24*$G24*$N24)</f>
        <v>0</v>
      </c>
      <c r="DN24" s="182"/>
      <c r="DO24" s="187">
        <f>(DN24*$E24*$F24*$G24*$O24)</f>
        <v>0</v>
      </c>
      <c r="DP24" s="187"/>
      <c r="DQ24" s="187"/>
      <c r="DR24" s="183">
        <f t="shared" si="9"/>
        <v>11</v>
      </c>
      <c r="DS24" s="183">
        <f t="shared" si="9"/>
        <v>1283751.5460000001</v>
      </c>
      <c r="DT24" s="182">
        <v>11</v>
      </c>
      <c r="DU24" s="182">
        <v>1283751.5460000001</v>
      </c>
      <c r="DV24" s="167">
        <f t="shared" si="5"/>
        <v>0</v>
      </c>
      <c r="DW24" s="167">
        <f t="shared" si="5"/>
        <v>0</v>
      </c>
    </row>
    <row r="25" spans="1:127" ht="30" customHeight="1" x14ac:dyDescent="0.25">
      <c r="A25" s="154"/>
      <c r="B25" s="176">
        <v>8</v>
      </c>
      <c r="C25" s="177" t="s">
        <v>152</v>
      </c>
      <c r="D25" s="178" t="s">
        <v>153</v>
      </c>
      <c r="E25" s="158">
        <v>25969</v>
      </c>
      <c r="F25" s="179">
        <v>0.71</v>
      </c>
      <c r="G25" s="168">
        <v>1</v>
      </c>
      <c r="H25" s="169"/>
      <c r="I25" s="169"/>
      <c r="J25" s="169"/>
      <c r="K25" s="106"/>
      <c r="L25" s="180">
        <v>1.4</v>
      </c>
      <c r="M25" s="180">
        <v>1.68</v>
      </c>
      <c r="N25" s="180">
        <v>2.23</v>
      </c>
      <c r="O25" s="181">
        <v>2.57</v>
      </c>
      <c r="P25" s="182">
        <v>45</v>
      </c>
      <c r="Q25" s="182">
        <f>(P25*$E25*$F25*$G25*$L25*$Q$12)</f>
        <v>1277752.7069999999</v>
      </c>
      <c r="R25" s="182">
        <v>1</v>
      </c>
      <c r="S25" s="182">
        <f>(R25*$E25*$F25*$G25*$L25*$S$12)</f>
        <v>28394.504599999997</v>
      </c>
      <c r="T25" s="182"/>
      <c r="U25" s="182">
        <f>(T25*$E25*$F25*$G25*$L25*$U$12)</f>
        <v>0</v>
      </c>
      <c r="V25" s="182">
        <v>15</v>
      </c>
      <c r="W25" s="183">
        <f t="shared" ref="W25:W29" si="27">(V25*$E25*$F25*$G25*$L25*$W$12)/12*10+(V25*$E25*$F25*$G25*$L25*$W$13)/12*1+(V25*$E25*$F25*$G25*$L25*$W$14*$W$15)/12*1</f>
        <v>492421.62888295995</v>
      </c>
      <c r="X25" s="183"/>
      <c r="Y25" s="183">
        <v>0</v>
      </c>
      <c r="Z25" s="183"/>
      <c r="AA25" s="183">
        <v>0</v>
      </c>
      <c r="AB25" s="182">
        <f t="shared" ref="AB25:AC29" si="28">X25+Z25</f>
        <v>0</v>
      </c>
      <c r="AC25" s="182">
        <f t="shared" si="28"/>
        <v>0</v>
      </c>
      <c r="AD25" s="182"/>
      <c r="AE25" s="182">
        <f>(AD25*$E25*$F25*$G25*$L25*$AE$12)</f>
        <v>0</v>
      </c>
      <c r="AF25" s="182"/>
      <c r="AG25" s="182"/>
      <c r="AH25" s="182">
        <v>2</v>
      </c>
      <c r="AI25" s="182">
        <f>(AH25*$E25*$F25*$G25*$L25*$AI$12)</f>
        <v>56789.009199999993</v>
      </c>
      <c r="AJ25" s="182"/>
      <c r="AK25" s="182"/>
      <c r="AL25" s="182"/>
      <c r="AM25" s="182"/>
      <c r="AN25" s="184"/>
      <c r="AO25" s="182">
        <f>(AN25*$E25*$F25*$G25*$L25*$AO$12)</f>
        <v>0</v>
      </c>
      <c r="AP25" s="182">
        <v>63</v>
      </c>
      <c r="AQ25" s="183">
        <f>(AP25*$E25*$F25*$G25*$L25*$AQ$12)</f>
        <v>1788853.7897999997</v>
      </c>
      <c r="AR25" s="192">
        <v>68</v>
      </c>
      <c r="AS25" s="182">
        <f t="shared" ref="AS25:AS29" si="29">(AR25*$E25*$F25*$G25*$L25*$AS$12)/12*10+(AR25*$E25*$F25*$G25*$L25*$AS$13)/12*1+(AR25*$E25*$F25*$L25*$G25*$AS$14*$AS$15)/12*1</f>
        <v>2084385.5145558661</v>
      </c>
      <c r="AT25" s="182"/>
      <c r="AU25" s="182">
        <f t="shared" ref="AU25:AU29" si="30">(AT25*$E25*$F25*$G25*$M25*$AU$12)/12*10+(AT25*$E25*$F25*$G25*$M25*$AU$13)/12*2</f>
        <v>0</v>
      </c>
      <c r="AV25" s="188"/>
      <c r="AW25" s="182">
        <f>(AV25*$E25*$F25*$G25*$M25*$AW$12)</f>
        <v>0</v>
      </c>
      <c r="AX25" s="182">
        <v>15</v>
      </c>
      <c r="AY25" s="187">
        <f>(AX25*$E25*$F25*$G25*$M25*$AY$12)</f>
        <v>511101.08279999997</v>
      </c>
      <c r="AZ25" s="182"/>
      <c r="BA25" s="182">
        <f>(AZ25*$E25*$F25*$G25*$L25*$BA$12)</f>
        <v>0</v>
      </c>
      <c r="BB25" s="182"/>
      <c r="BC25" s="182">
        <f>(BB25*$E25*$F25*$G25*$L25*$BC$12)</f>
        <v>0</v>
      </c>
      <c r="BD25" s="182"/>
      <c r="BE25" s="182">
        <f>(BD25*$E25*$F25*$G25*$L25*$BE$12)</f>
        <v>0</v>
      </c>
      <c r="BF25" s="182"/>
      <c r="BG25" s="182">
        <f>(BF25*$E25*$F25*$G25*$L25*$BG$12)</f>
        <v>0</v>
      </c>
      <c r="BH25" s="182"/>
      <c r="BI25" s="183">
        <f>(BH25*$E25*$F25*$G25*$L25*$BI$12)</f>
        <v>0</v>
      </c>
      <c r="BJ25" s="182"/>
      <c r="BK25" s="183">
        <f>(BJ25*$E25*$F25*$G25*$L25*$BK$12)</f>
        <v>0</v>
      </c>
      <c r="BL25" s="182">
        <v>37</v>
      </c>
      <c r="BM25" s="182">
        <f>(BL25/12*11*$E25*$F25*$G25*$L25*$BM$12)+(BL25/12*$E25*$F25*$G25*$L25*$BM$12*$BM$15)</f>
        <v>1333186.1625503961</v>
      </c>
      <c r="BN25" s="182">
        <v>3</v>
      </c>
      <c r="BO25" s="182">
        <f>(BN25*$E25*$F25*$G25*$M25*$BO$12)</f>
        <v>102220.21655999999</v>
      </c>
      <c r="BP25" s="182"/>
      <c r="BQ25" s="182">
        <f>(BP25*$E25*$F25*$G25*$M25*$BQ$12)</f>
        <v>0</v>
      </c>
      <c r="BR25" s="182">
        <v>364</v>
      </c>
      <c r="BS25" s="183">
        <f>(BR25*$E25*$F25*$G25*$M25*$BS$12)</f>
        <v>11275199.644799998</v>
      </c>
      <c r="BT25" s="194">
        <v>50</v>
      </c>
      <c r="BU25" s="182">
        <f>(BT25*$E25*$F25*$G25*$M25*$BU$12)/12*10+(BT25*$E25*$F25*$G25*$M25*$BU$13)/12+(BT25*$E25*$F25*$G25*$M25*$BU$13*$BU$15)/12</f>
        <v>1725355.4172948797</v>
      </c>
      <c r="BV25" s="182">
        <v>41</v>
      </c>
      <c r="BW25" s="182">
        <f>(BV25*$E25*$F25*$G25*$M25*$BW$12)</f>
        <v>1143007.8760799998</v>
      </c>
      <c r="BX25" s="182">
        <v>47</v>
      </c>
      <c r="BY25" s="183">
        <f t="shared" ref="BY25:BY29" si="31">(BX25*$E25*$F25*$G25*$M25*$BY$12)/12*11+(BX25*$E25*$F25*$G25*$M25*$BY$12*$BY$15)/12</f>
        <v>1963494.2419686713</v>
      </c>
      <c r="BZ25" s="182">
        <v>30</v>
      </c>
      <c r="CA25" s="187">
        <f t="shared" ref="CA25:CA29" si="32">(BZ25*$E25*$F25*$G25*$M25*$CA$12)/12*11+(BZ25*$E25*$F25*$G25*$M25*$CA$12*$CA$15)/12</f>
        <v>1214492.3320698</v>
      </c>
      <c r="CB25" s="182"/>
      <c r="CC25" s="182">
        <f>(CB25*$E25*$F25*$G25*$L25*$CC$12)</f>
        <v>0</v>
      </c>
      <c r="CD25" s="182"/>
      <c r="CE25" s="182">
        <f>(CD25*$E25*$F25*$G25*$L25*$CE$12)</f>
        <v>0</v>
      </c>
      <c r="CF25" s="182">
        <v>150</v>
      </c>
      <c r="CG25" s="182">
        <f>(CF25*$E25*$F25*$G25*$L25*$CG$12)</f>
        <v>3871977.9</v>
      </c>
      <c r="CH25" s="182">
        <v>158</v>
      </c>
      <c r="CI25" s="182">
        <f t="shared" ref="CI25:CI29" si="33">(CH25*$E25*$F25*$G25*$M25*$CI$12)/12*11+(CH25*$E25*$F25*$G25*$M25*$CI$12*$CI$15)/12</f>
        <v>5454245.5614069356</v>
      </c>
      <c r="CJ25" s="182"/>
      <c r="CK25" s="182">
        <f t="shared" ref="CK25:CK29" si="34">(CJ25*$E25*$F25*$G25*$L25*CK$12)</f>
        <v>0</v>
      </c>
      <c r="CL25" s="182">
        <v>80</v>
      </c>
      <c r="CM25" s="183">
        <f>(CL25*$E25*$F25*$G25*$L25*$CM$12)</f>
        <v>1652043.9040000001</v>
      </c>
      <c r="CN25" s="182">
        <v>20</v>
      </c>
      <c r="CO25" s="183">
        <f>(CN25*$E25*$F25*$G25*$L25*$CO$12)</f>
        <v>413010.97600000002</v>
      </c>
      <c r="CP25" s="182">
        <v>20</v>
      </c>
      <c r="CQ25" s="182">
        <f>(CP25*$E25*$F25*$G25*$L25*$CQ$12)/12*11+(CP25*$E25*$F25*$G25*$L25*$CQ$12*$CQ$15)/12</f>
        <v>572185.40615039994</v>
      </c>
      <c r="CR25" s="182"/>
      <c r="CS25" s="182">
        <f>(CR25*$E25*$F25*$G25*$L25*$CS$12)</f>
        <v>0</v>
      </c>
      <c r="CT25" s="182">
        <v>11</v>
      </c>
      <c r="CU25" s="182">
        <f>(CT25*$E25*$F25*$G25*$L25*$CU$12)/12*11+(CT25*$E25*$F25*$G25*$L25*$CU$12*$CU$15)/12</f>
        <v>298082.66984033998</v>
      </c>
      <c r="CV25" s="182">
        <v>9</v>
      </c>
      <c r="CW25" s="182">
        <v>263294.47000000003</v>
      </c>
      <c r="CX25" s="182">
        <f>181-38</f>
        <v>143</v>
      </c>
      <c r="CY25" s="182">
        <f>(CX25/12*11*$E25*$F25*$G25*$M25*$CY$12)+(CX25/12*$E25*$F25*$G25*$M25*$CY$15*$CY$12)</f>
        <v>4780318.205406744</v>
      </c>
      <c r="CZ25" s="182"/>
      <c r="DA25" s="182">
        <v>0</v>
      </c>
      <c r="DB25" s="188"/>
      <c r="DC25" s="182">
        <f>(DB25*$E25*$F25*$G25*$M25*$DC$12)</f>
        <v>0</v>
      </c>
      <c r="DD25" s="182"/>
      <c r="DE25" s="187">
        <f t="shared" ref="DE25:DE29" si="35">(DD25*$E25*$F25*$G25*$M25*DE$12)</f>
        <v>0</v>
      </c>
      <c r="DF25" s="182"/>
      <c r="DG25" s="182">
        <f>(DF25*$E25*$F25*$G25*$M25*$DG$12)</f>
        <v>0</v>
      </c>
      <c r="DH25" s="189">
        <f>ROUND(4*0.75,0)</f>
        <v>3</v>
      </c>
      <c r="DI25" s="182">
        <f>(DH25*$E25*$F25*$G25*$M25*$DI$12)</f>
        <v>92927.469599999982</v>
      </c>
      <c r="DJ25" s="182">
        <v>31</v>
      </c>
      <c r="DK25" s="182">
        <f>(DJ25/12*11*$E25*$F25*$G25*$M25*$DK$12)+(DJ25/12*1*$E25*$F25*$M25*$G25*$DK$12*$DK$15)</f>
        <v>1046376.98868458</v>
      </c>
      <c r="DL25" s="182">
        <f>ROUND(30*0.75,0)</f>
        <v>23</v>
      </c>
      <c r="DM25" s="182">
        <f>(DL25*$E25*$F25*$G25*$N25*$DM$12)</f>
        <v>945684.50709999993</v>
      </c>
      <c r="DN25" s="182">
        <f>ROUND(55*0.75,0)</f>
        <v>41</v>
      </c>
      <c r="DO25" s="190">
        <f>(DN25*$E25*$F25*$G25*$O25*$DO$12)</f>
        <v>1942811.0062999998</v>
      </c>
      <c r="DP25" s="187"/>
      <c r="DQ25" s="187"/>
      <c r="DR25" s="183">
        <f t="shared" si="9"/>
        <v>1470</v>
      </c>
      <c r="DS25" s="183">
        <f t="shared" si="9"/>
        <v>46329613.192651577</v>
      </c>
      <c r="DT25" s="182">
        <v>1427</v>
      </c>
      <c r="DU25" s="182">
        <v>43220393.995853327</v>
      </c>
      <c r="DV25" s="167">
        <f t="shared" si="5"/>
        <v>43</v>
      </c>
      <c r="DW25" s="167">
        <f t="shared" si="5"/>
        <v>3109219.1967982501</v>
      </c>
    </row>
    <row r="26" spans="1:127" ht="60" customHeight="1" x14ac:dyDescent="0.25">
      <c r="A26" s="154"/>
      <c r="B26" s="176">
        <v>9</v>
      </c>
      <c r="C26" s="177" t="s">
        <v>154</v>
      </c>
      <c r="D26" s="178" t="s">
        <v>155</v>
      </c>
      <c r="E26" s="158">
        <v>25969</v>
      </c>
      <c r="F26" s="179">
        <v>0.89</v>
      </c>
      <c r="G26" s="168">
        <v>1</v>
      </c>
      <c r="H26" s="169"/>
      <c r="I26" s="169"/>
      <c r="J26" s="169"/>
      <c r="K26" s="106"/>
      <c r="L26" s="180">
        <v>1.4</v>
      </c>
      <c r="M26" s="180">
        <v>1.68</v>
      </c>
      <c r="N26" s="180">
        <v>2.23</v>
      </c>
      <c r="O26" s="181">
        <v>2.57</v>
      </c>
      <c r="P26" s="182">
        <v>10</v>
      </c>
      <c r="Q26" s="182">
        <f>(P26*$E26*$F26*$G26*$L26*$Q$12)</f>
        <v>355931.114</v>
      </c>
      <c r="R26" s="182"/>
      <c r="S26" s="182">
        <f>(R26*$E26*$F26*$G26*$L26*$S$12)</f>
        <v>0</v>
      </c>
      <c r="T26" s="182">
        <v>3</v>
      </c>
      <c r="U26" s="182">
        <f>(T26/12*11*$E26*$F26*$G26*$L26*$U$12)+(T26/12*1*$E26*$F26*$G26*$L26*$U$14)</f>
        <v>122553.554025</v>
      </c>
      <c r="V26" s="182">
        <v>10</v>
      </c>
      <c r="W26" s="183">
        <f t="shared" si="27"/>
        <v>411507.27671909326</v>
      </c>
      <c r="X26" s="183"/>
      <c r="Y26" s="183">
        <v>0</v>
      </c>
      <c r="Z26" s="183"/>
      <c r="AA26" s="183">
        <v>0</v>
      </c>
      <c r="AB26" s="182">
        <f t="shared" si="28"/>
        <v>0</v>
      </c>
      <c r="AC26" s="182">
        <f t="shared" si="28"/>
        <v>0</v>
      </c>
      <c r="AD26" s="182"/>
      <c r="AE26" s="182">
        <f>(AD26*$E26*$F26*$G26*$L26*$AE$12)</f>
        <v>0</v>
      </c>
      <c r="AF26" s="182"/>
      <c r="AG26" s="182"/>
      <c r="AH26" s="182"/>
      <c r="AI26" s="182">
        <f>(AH26*$E26*$F26*$G26*$L26*$AI$12)</f>
        <v>0</v>
      </c>
      <c r="AJ26" s="182"/>
      <c r="AK26" s="182"/>
      <c r="AL26" s="182"/>
      <c r="AM26" s="182"/>
      <c r="AN26" s="184"/>
      <c r="AO26" s="182">
        <f>(AN26*$E26*$F26*$G26*$L26*$AO$12)</f>
        <v>0</v>
      </c>
      <c r="AP26" s="182">
        <v>12</v>
      </c>
      <c r="AQ26" s="183">
        <f>(AP26*$E26*$F26*$G26*$L26*$AQ$12)</f>
        <v>427117.33679999999</v>
      </c>
      <c r="AR26" s="192">
        <v>4</v>
      </c>
      <c r="AS26" s="182">
        <f t="shared" si="29"/>
        <v>153695.36934173334</v>
      </c>
      <c r="AT26" s="182">
        <v>1</v>
      </c>
      <c r="AU26" s="182">
        <f>(AT26*$E26*$F26*$G26*$M26*$AU$12)/12*10+(AT26*$E26*$F26*$G26*$M26*$AU$13)/12+(AT26*$E26*$F26*$G26*$M26*$AU$14*$AU$15)/12</f>
        <v>44746.345942695603</v>
      </c>
      <c r="AV26" s="188">
        <v>1</v>
      </c>
      <c r="AW26" s="182">
        <v>54360.39</v>
      </c>
      <c r="AX26" s="182"/>
      <c r="AY26" s="187">
        <f>(AX26*$E26*$F26*$G26*$M26*$AY$12)</f>
        <v>0</v>
      </c>
      <c r="AZ26" s="182"/>
      <c r="BA26" s="182">
        <f>(AZ26*$E26*$F26*$G26*$L26*$BA$12)</f>
        <v>0</v>
      </c>
      <c r="BB26" s="182"/>
      <c r="BC26" s="182">
        <f>(BB26*$E26*$F26*$G26*$L26*$BC$12)</f>
        <v>0</v>
      </c>
      <c r="BD26" s="182"/>
      <c r="BE26" s="182">
        <f>(BD26*$E26*$F26*$G26*$L26*$BE$12)</f>
        <v>0</v>
      </c>
      <c r="BF26" s="182"/>
      <c r="BG26" s="182">
        <f>(BF26*$E26*$F26*$G26*$L26*$BG$12)</f>
        <v>0</v>
      </c>
      <c r="BH26" s="182"/>
      <c r="BI26" s="183">
        <f>(BH26*$E26*$F26*$G26*$L26*$BI$12)</f>
        <v>0</v>
      </c>
      <c r="BJ26" s="182"/>
      <c r="BK26" s="183">
        <f>(BJ26*$E26*$F26*$G26*$L26*$BK$12)</f>
        <v>0</v>
      </c>
      <c r="BL26" s="182">
        <v>1</v>
      </c>
      <c r="BM26" s="182">
        <f t="shared" ref="BM26:BM31" si="36">(BL26/12*11*$E26*$F26*$G26*$L26*$BM$12)+(BL26/12*$E26*$F26*$G26*$L26*$BM$12*$BM$15)</f>
        <v>45166.94650437199</v>
      </c>
      <c r="BN26" s="182">
        <v>1</v>
      </c>
      <c r="BO26" s="182">
        <f>(BN26*$E26*$F26*$G26*$M26*$BO$12)</f>
        <v>42711.733680000005</v>
      </c>
      <c r="BP26" s="182"/>
      <c r="BQ26" s="182">
        <f>(BP26*$E26*$F26*$G26*$M26*$BQ$12)</f>
        <v>0</v>
      </c>
      <c r="BR26" s="182">
        <v>36</v>
      </c>
      <c r="BS26" s="183">
        <f>(BR26*$E26*$F26*$G26*$M26*$BS$12)</f>
        <v>1397838.5567999999</v>
      </c>
      <c r="BT26" s="194">
        <v>1</v>
      </c>
      <c r="BU26" s="182">
        <f t="shared" ref="BU26:BU29" si="37">(BT26*$E26*$F26*$G26*$M26*$BU$12)/12*10+(BT26*$E26*$F26*$G26*$M26*$BU$13)/12+(BT26*$E26*$F26*$G26*$M26*$BU$13*$BU$15)/12</f>
        <v>43255.389334998399</v>
      </c>
      <c r="BV26" s="182"/>
      <c r="BW26" s="182">
        <f>(BV26*$E26*$F26*$G26*$M26*$BW$12)</f>
        <v>0</v>
      </c>
      <c r="BX26" s="182">
        <v>16</v>
      </c>
      <c r="BY26" s="183">
        <f t="shared" si="31"/>
        <v>837883.06879334396</v>
      </c>
      <c r="BZ26" s="182">
        <v>10</v>
      </c>
      <c r="CA26" s="187">
        <f t="shared" si="32"/>
        <v>507463.9321794</v>
      </c>
      <c r="CB26" s="182"/>
      <c r="CC26" s="182">
        <f>(CB26*$E26*$F26*$G26*$L26*$CC$12)</f>
        <v>0</v>
      </c>
      <c r="CD26" s="182"/>
      <c r="CE26" s="182">
        <f>(CD26*$E26*$F26*$G26*$L26*$CE$12)</f>
        <v>0</v>
      </c>
      <c r="CF26" s="182"/>
      <c r="CG26" s="182">
        <f>(CF26*$E26*$F26*$G26*$L26*$CG$12)</f>
        <v>0</v>
      </c>
      <c r="CH26" s="182">
        <v>5</v>
      </c>
      <c r="CI26" s="182">
        <f t="shared" si="33"/>
        <v>216361.14056214</v>
      </c>
      <c r="CJ26" s="182"/>
      <c r="CK26" s="182">
        <f t="shared" si="34"/>
        <v>0</v>
      </c>
      <c r="CL26" s="182"/>
      <c r="CM26" s="183">
        <f>(CL26*$E26*$F26*$G26*$L26*$CM$12)</f>
        <v>0</v>
      </c>
      <c r="CN26" s="182"/>
      <c r="CO26" s="183">
        <f>(CN26*$E26*$F26*$G26*$L26*$CO$12)</f>
        <v>0</v>
      </c>
      <c r="CP26" s="182"/>
      <c r="CQ26" s="182">
        <f>(CP26*$E26*$F26*$G26*$L26*$CQ$12)</f>
        <v>0</v>
      </c>
      <c r="CR26" s="182">
        <v>3</v>
      </c>
      <c r="CS26" s="182">
        <f>(CR26*$E26*$F26*$G26*$L26*$CS$12)/12*10+(CR26*$E26*$F26*$G26*$L26*$CS$13)/12+(CR26*$E26*$F26*$G26*$L26*$CS$13*$CS$15)/12</f>
        <v>116376.69311526998</v>
      </c>
      <c r="CT26" s="182">
        <v>1</v>
      </c>
      <c r="CU26" s="182">
        <f t="shared" ref="CU26:CU28" si="38">(CT26*$E26*$F26*$G26*$L26*$CU$12)/12*11+(CT26*$E26*$F26*$G26*$L26*$CU$12*$CU$15)/12</f>
        <v>33968.447651459996</v>
      </c>
      <c r="CV26" s="182">
        <v>5</v>
      </c>
      <c r="CW26" s="182">
        <v>194144.25</v>
      </c>
      <c r="CX26" s="182"/>
      <c r="CY26" s="182">
        <f>(CX26*$E26*$F26*$G26*$M26*$CY$12)</f>
        <v>0</v>
      </c>
      <c r="CZ26" s="182"/>
      <c r="DA26" s="182">
        <v>0</v>
      </c>
      <c r="DB26" s="188"/>
      <c r="DC26" s="182">
        <f>(DB26*$E26*$F26*$G26*$M26*$DC$12)</f>
        <v>0</v>
      </c>
      <c r="DD26" s="182"/>
      <c r="DE26" s="187">
        <f t="shared" si="35"/>
        <v>0</v>
      </c>
      <c r="DF26" s="182"/>
      <c r="DG26" s="182">
        <f>(DF26*$E26*$F26*$G26*$M26*$DG$12)</f>
        <v>0</v>
      </c>
      <c r="DH26" s="189"/>
      <c r="DI26" s="182">
        <f>(DH26*$E26*$F26*$G26*$M26*$DI$12)</f>
        <v>0</v>
      </c>
      <c r="DJ26" s="182">
        <v>4</v>
      </c>
      <c r="DK26" s="182">
        <f t="shared" ref="DK26:DK29" si="39">(DJ26/12*11*$E26*$F26*$G26*$M26*$DK$12)+(DJ26/12*1*$E26*$F26*$M26*$G26*$DK$12*$DK$15)</f>
        <v>169245.89185447997</v>
      </c>
      <c r="DL26" s="182"/>
      <c r="DM26" s="182">
        <f>(DL26*$E26*$F26*$G26*$N26*$DM$12)</f>
        <v>0</v>
      </c>
      <c r="DN26" s="182">
        <f>ROUND(2*0.75,0)</f>
        <v>2</v>
      </c>
      <c r="DO26" s="190">
        <f>(DN26*$E26*$F26*$G26*$O26*$DO$12)</f>
        <v>118797.78739999999</v>
      </c>
      <c r="DP26" s="187"/>
      <c r="DQ26" s="187"/>
      <c r="DR26" s="183">
        <f t="shared" si="9"/>
        <v>126</v>
      </c>
      <c r="DS26" s="183">
        <f t="shared" si="9"/>
        <v>5293125.2247039862</v>
      </c>
      <c r="DT26" s="182">
        <v>125</v>
      </c>
      <c r="DU26" s="182">
        <v>5031725.7457333338</v>
      </c>
      <c r="DV26" s="167">
        <f t="shared" si="5"/>
        <v>1</v>
      </c>
      <c r="DW26" s="167">
        <f t="shared" si="5"/>
        <v>261399.47897065245</v>
      </c>
    </row>
    <row r="27" spans="1:127" ht="30" customHeight="1" x14ac:dyDescent="0.25">
      <c r="A27" s="154"/>
      <c r="B27" s="176">
        <v>10</v>
      </c>
      <c r="C27" s="177" t="s">
        <v>156</v>
      </c>
      <c r="D27" s="178" t="s">
        <v>157</v>
      </c>
      <c r="E27" s="158">
        <v>25969</v>
      </c>
      <c r="F27" s="179">
        <v>0.46</v>
      </c>
      <c r="G27" s="168">
        <v>1</v>
      </c>
      <c r="H27" s="169"/>
      <c r="I27" s="169"/>
      <c r="J27" s="169"/>
      <c r="K27" s="106"/>
      <c r="L27" s="180">
        <v>1.4</v>
      </c>
      <c r="M27" s="180">
        <v>1.68</v>
      </c>
      <c r="N27" s="180">
        <v>2.23</v>
      </c>
      <c r="O27" s="181">
        <v>2.57</v>
      </c>
      <c r="P27" s="182">
        <v>186</v>
      </c>
      <c r="Q27" s="182">
        <f>(P27*$E27*$F27*$G27*$L27*$Q$12)</f>
        <v>3421737.7656</v>
      </c>
      <c r="R27" s="182">
        <v>1</v>
      </c>
      <c r="S27" s="182">
        <f>(R27*$E27*$F27*$G27*$L27*$S$12)</f>
        <v>18396.439600000002</v>
      </c>
      <c r="T27" s="182"/>
      <c r="U27" s="182">
        <f>(T27*$E27*$F27*$G27*$L27*$U$12)</f>
        <v>0</v>
      </c>
      <c r="V27" s="182">
        <v>160</v>
      </c>
      <c r="W27" s="183">
        <f t="shared" si="27"/>
        <v>3403026.4681489067</v>
      </c>
      <c r="X27" s="183"/>
      <c r="Y27" s="183">
        <v>0</v>
      </c>
      <c r="Z27" s="183"/>
      <c r="AA27" s="183">
        <v>0</v>
      </c>
      <c r="AB27" s="182">
        <f t="shared" si="28"/>
        <v>0</v>
      </c>
      <c r="AC27" s="182">
        <f t="shared" si="28"/>
        <v>0</v>
      </c>
      <c r="AD27" s="182"/>
      <c r="AE27" s="182">
        <f>(AD27*$E27*$F27*$G27*$L27*$AE$12)</f>
        <v>0</v>
      </c>
      <c r="AF27" s="182"/>
      <c r="AG27" s="182"/>
      <c r="AH27" s="182"/>
      <c r="AI27" s="182">
        <f>(AH27*$E27*$F27*$G27*$L27*$AI$12)</f>
        <v>0</v>
      </c>
      <c r="AJ27" s="182"/>
      <c r="AK27" s="182"/>
      <c r="AL27" s="182"/>
      <c r="AM27" s="182"/>
      <c r="AN27" s="184"/>
      <c r="AO27" s="182">
        <f>(AN27*$E27*$F27*$G27*$L27*$AO$12)</f>
        <v>0</v>
      </c>
      <c r="AP27" s="182">
        <f>150+21</f>
        <v>171</v>
      </c>
      <c r="AQ27" s="183">
        <f>(AP27*$E27*$F27*$G27*$L27*$AQ$12)</f>
        <v>3145791.1716</v>
      </c>
      <c r="AR27" s="192">
        <v>201</v>
      </c>
      <c r="AS27" s="182">
        <f t="shared" si="29"/>
        <v>3991762.3172294004</v>
      </c>
      <c r="AT27" s="182"/>
      <c r="AU27" s="182">
        <f t="shared" si="30"/>
        <v>0</v>
      </c>
      <c r="AV27" s="188"/>
      <c r="AW27" s="182">
        <f>(AV27*$E27*$F27*$G27*$M27*$AW$12)</f>
        <v>0</v>
      </c>
      <c r="AX27" s="182"/>
      <c r="AY27" s="187">
        <f>(AX27*$E27*$F27*$G27*$M27*$AY$12)</f>
        <v>0</v>
      </c>
      <c r="AZ27" s="182"/>
      <c r="BA27" s="182">
        <f>(AZ27*$E27*$F27*$G27*$L27*$BA$12)</f>
        <v>0</v>
      </c>
      <c r="BB27" s="182">
        <v>0</v>
      </c>
      <c r="BC27" s="182">
        <f>(BB27*$E27*$F27*$G27*$L27*$BC$12)</f>
        <v>0</v>
      </c>
      <c r="BD27" s="182"/>
      <c r="BE27" s="182">
        <f>(BD27*$E27*$F27*$G27*$L27*$BE$12)</f>
        <v>0</v>
      </c>
      <c r="BF27" s="182"/>
      <c r="BG27" s="182">
        <f>(BF27*$E27*$F27*$G27*$L27*$BG$12)</f>
        <v>0</v>
      </c>
      <c r="BH27" s="182"/>
      <c r="BI27" s="183">
        <f>(BH27*$E27*$F27*$G27*$L27*$BI$12)</f>
        <v>0</v>
      </c>
      <c r="BJ27" s="182"/>
      <c r="BK27" s="183">
        <f>(BJ27*$E27*$F27*$G27*$L27*$BK$12)</f>
        <v>0</v>
      </c>
      <c r="BL27" s="182">
        <v>43</v>
      </c>
      <c r="BM27" s="182">
        <f t="shared" si="36"/>
        <v>1003822.6987151441</v>
      </c>
      <c r="BN27" s="182">
        <v>17</v>
      </c>
      <c r="BO27" s="182">
        <f>(BN27*$E27*$F27*$G27*$M27*$BO$12)</f>
        <v>375287.36784000002</v>
      </c>
      <c r="BP27" s="182"/>
      <c r="BQ27" s="182">
        <f>(BP27*$E27*$F27*$G27*$M27*$BQ$12)</f>
        <v>0</v>
      </c>
      <c r="BR27" s="182">
        <v>281</v>
      </c>
      <c r="BS27" s="183">
        <f>(BR27*$E27*$F27*$G27*$M27*$BS$12)</f>
        <v>5639344.9391999999</v>
      </c>
      <c r="BT27" s="194">
        <v>60</v>
      </c>
      <c r="BU27" s="182">
        <f t="shared" si="37"/>
        <v>1341403.084995456</v>
      </c>
      <c r="BV27" s="182">
        <v>3</v>
      </c>
      <c r="BW27" s="182">
        <f>(BV27*$E27*$F27*$G27*$M27*$BW$12)</f>
        <v>54185.876640000002</v>
      </c>
      <c r="BX27" s="182">
        <v>70</v>
      </c>
      <c r="BY27" s="183">
        <f t="shared" si="31"/>
        <v>1894651.32128832</v>
      </c>
      <c r="BZ27" s="182">
        <v>77</v>
      </c>
      <c r="CA27" s="187">
        <f t="shared" si="32"/>
        <v>2019592.4132353198</v>
      </c>
      <c r="CB27" s="182"/>
      <c r="CC27" s="182">
        <f>(CB27*$E27*$F27*$G27*$L27*$CC$12)</f>
        <v>0</v>
      </c>
      <c r="CD27" s="182"/>
      <c r="CE27" s="182">
        <f>(CD27*$E27*$F27*$G27*$L27*$CE$12)</f>
        <v>0</v>
      </c>
      <c r="CF27" s="182"/>
      <c r="CG27" s="182">
        <f>(CF27*$E27*$F27*$G27*$L27*$CG$12)</f>
        <v>0</v>
      </c>
      <c r="CH27" s="182">
        <v>38</v>
      </c>
      <c r="CI27" s="182">
        <f t="shared" si="33"/>
        <v>849886.00832049595</v>
      </c>
      <c r="CJ27" s="182"/>
      <c r="CK27" s="182">
        <f t="shared" si="34"/>
        <v>0</v>
      </c>
      <c r="CL27" s="182"/>
      <c r="CM27" s="183">
        <f>(CL27*$E27*$F27*$G27*$L27*$CM$12)</f>
        <v>0</v>
      </c>
      <c r="CN27" s="182">
        <v>15</v>
      </c>
      <c r="CO27" s="183">
        <f>(CN27*$E27*$F27*$G27*$L27*$CO$12)</f>
        <v>200688.432</v>
      </c>
      <c r="CP27" s="182"/>
      <c r="CQ27" s="182">
        <f>(CP27*$E27*$F27*$G27*$L27*$CQ$12)</f>
        <v>0</v>
      </c>
      <c r="CR27" s="182">
        <v>2</v>
      </c>
      <c r="CS27" s="182">
        <f>(CR27*$E27*$F27*$G27*$L27*$CS$12)/12*10+(CR27*$E27*$F27*$G27*$L27*$CS$13)/12+(CR27*$E27*$F27*$G27*$L27*$CS$13*$CS$15)/12</f>
        <v>40099.83433185333</v>
      </c>
      <c r="CT27" s="182">
        <v>30</v>
      </c>
      <c r="CU27" s="182">
        <f t="shared" si="38"/>
        <v>526701.77257319994</v>
      </c>
      <c r="CV27" s="182">
        <v>53</v>
      </c>
      <c r="CW27" s="182">
        <v>842891.28000000026</v>
      </c>
      <c r="CX27" s="182">
        <v>80</v>
      </c>
      <c r="CY27" s="182">
        <f t="shared" ref="CY27:CY28" si="40">(CX27/12*11*$E27*$F27*$G27*$M27*$CY$12)+(CX27/12*$E27*$F27*$G27*$M27*$CY$15*$CY$12)</f>
        <v>1732647.5914406402</v>
      </c>
      <c r="CZ27" s="182"/>
      <c r="DA27" s="182">
        <v>0</v>
      </c>
      <c r="DB27" s="188"/>
      <c r="DC27" s="182">
        <f>(DB27*$E27*$F27*$G27*$M27*$DC$12)</f>
        <v>0</v>
      </c>
      <c r="DD27" s="182"/>
      <c r="DE27" s="187">
        <f t="shared" si="35"/>
        <v>0</v>
      </c>
      <c r="DF27" s="182"/>
      <c r="DG27" s="182">
        <f>(DF27*$E27*$F27*$G27*$M27*$DG$12)</f>
        <v>0</v>
      </c>
      <c r="DH27" s="189">
        <f>ROUND(5*0.75,0)</f>
        <v>4</v>
      </c>
      <c r="DI27" s="182">
        <f>(DH27*$E27*$F27*$G27*$M27*$DI$12)</f>
        <v>80275.372799999997</v>
      </c>
      <c r="DJ27" s="182">
        <v>20</v>
      </c>
      <c r="DK27" s="182">
        <f t="shared" si="39"/>
        <v>437377.02389359998</v>
      </c>
      <c r="DL27" s="182"/>
      <c r="DM27" s="182">
        <f>(DL27*$E27*$F27*$G27*$N27*$DM$12)</f>
        <v>0</v>
      </c>
      <c r="DN27" s="182">
        <f>ROUND(10*0.75,0)</f>
        <v>8</v>
      </c>
      <c r="DO27" s="190">
        <f>(DN27*$E27*$F27*$G27*$O27*$DO$12)</f>
        <v>245604.41439999998</v>
      </c>
      <c r="DP27" s="187"/>
      <c r="DQ27" s="187"/>
      <c r="DR27" s="183">
        <f t="shared" si="9"/>
        <v>1520</v>
      </c>
      <c r="DS27" s="183">
        <f t="shared" si="9"/>
        <v>31265173.593852337</v>
      </c>
      <c r="DT27" s="182">
        <v>1520</v>
      </c>
      <c r="DU27" s="182">
        <v>30204512.775926668</v>
      </c>
      <c r="DV27" s="167">
        <f t="shared" si="5"/>
        <v>0</v>
      </c>
      <c r="DW27" s="167">
        <f t="shared" si="5"/>
        <v>1060660.8179256693</v>
      </c>
    </row>
    <row r="28" spans="1:127" ht="30" customHeight="1" x14ac:dyDescent="0.25">
      <c r="A28" s="154"/>
      <c r="B28" s="176">
        <v>11</v>
      </c>
      <c r="C28" s="177" t="s">
        <v>158</v>
      </c>
      <c r="D28" s="178" t="s">
        <v>159</v>
      </c>
      <c r="E28" s="158">
        <v>25969</v>
      </c>
      <c r="F28" s="180">
        <v>0.39</v>
      </c>
      <c r="G28" s="168">
        <v>1</v>
      </c>
      <c r="H28" s="169"/>
      <c r="I28" s="169"/>
      <c r="J28" s="169"/>
      <c r="K28" s="106"/>
      <c r="L28" s="180">
        <v>1.4</v>
      </c>
      <c r="M28" s="180">
        <v>1.68</v>
      </c>
      <c r="N28" s="180">
        <v>2.23</v>
      </c>
      <c r="O28" s="181">
        <v>2.57</v>
      </c>
      <c r="P28" s="182">
        <v>269</v>
      </c>
      <c r="Q28" s="182">
        <f>(P28*$E28*$F28*$G28*$L28*$Q$12)</f>
        <v>4195587.9966000002</v>
      </c>
      <c r="R28" s="182"/>
      <c r="S28" s="182">
        <f>(R28*$E28*$F28*$G28*$L28*$S$12)</f>
        <v>0</v>
      </c>
      <c r="T28" s="182"/>
      <c r="U28" s="182">
        <f>(T28*$E28*$F28*$G28*$L28*$U$12)</f>
        <v>0</v>
      </c>
      <c r="V28" s="182">
        <v>10</v>
      </c>
      <c r="W28" s="183">
        <f t="shared" si="27"/>
        <v>180323.41339375998</v>
      </c>
      <c r="X28" s="183"/>
      <c r="Y28" s="183">
        <v>0</v>
      </c>
      <c r="Z28" s="183"/>
      <c r="AA28" s="183">
        <v>0</v>
      </c>
      <c r="AB28" s="182">
        <f t="shared" si="28"/>
        <v>0</v>
      </c>
      <c r="AC28" s="182">
        <f t="shared" si="28"/>
        <v>0</v>
      </c>
      <c r="AD28" s="182"/>
      <c r="AE28" s="182">
        <f>(AD28*$E28*$F28*$G28*$L28*$AE$12)</f>
        <v>0</v>
      </c>
      <c r="AF28" s="182"/>
      <c r="AG28" s="182"/>
      <c r="AH28" s="182">
        <v>5</v>
      </c>
      <c r="AI28" s="182">
        <f>(AH28*$E28*$F28*$G28*$L28*$AI$12)</f>
        <v>77984.907000000007</v>
      </c>
      <c r="AJ28" s="182"/>
      <c r="AK28" s="182"/>
      <c r="AL28" s="182"/>
      <c r="AM28" s="182"/>
      <c r="AN28" s="184"/>
      <c r="AO28" s="182">
        <f>(AN28*$E28*$F28*$G28*$L28*$AO$12)</f>
        <v>0</v>
      </c>
      <c r="AP28" s="182">
        <v>383</v>
      </c>
      <c r="AQ28" s="183">
        <f>(AP28*$E28*$F28*$G28*$L28*$AQ$12)</f>
        <v>5973643.8762000008</v>
      </c>
      <c r="AR28" s="192">
        <v>100</v>
      </c>
      <c r="AS28" s="182">
        <f t="shared" si="29"/>
        <v>1683741.4057100001</v>
      </c>
      <c r="AT28" s="182"/>
      <c r="AU28" s="182">
        <f t="shared" si="30"/>
        <v>0</v>
      </c>
      <c r="AV28" s="188"/>
      <c r="AW28" s="182">
        <f>(AV28*$E28*$F28*$G28*$M28*$AW$12)</f>
        <v>0</v>
      </c>
      <c r="AX28" s="182">
        <v>3</v>
      </c>
      <c r="AY28" s="187">
        <f>(AX28*$E28*$F28*$G28*$M28*$AY$12)</f>
        <v>56149.133040000001</v>
      </c>
      <c r="AZ28" s="182"/>
      <c r="BA28" s="182">
        <f>(AZ28*$E28*$F28*$G28*$L28*$BA$12)</f>
        <v>0</v>
      </c>
      <c r="BB28" s="182"/>
      <c r="BC28" s="182">
        <f>(BB28*$E28*$F28*$G28*$L28*$BC$12)</f>
        <v>0</v>
      </c>
      <c r="BD28" s="182"/>
      <c r="BE28" s="182">
        <f>(BD28*$E28*$F28*$G28*$L28*$BE$12)</f>
        <v>0</v>
      </c>
      <c r="BF28" s="182"/>
      <c r="BG28" s="182">
        <f>(BF28*$E28*$F28*$G28*$L28*$BG$12)</f>
        <v>0</v>
      </c>
      <c r="BH28" s="182"/>
      <c r="BI28" s="183">
        <f>(BH28*$E28*$F28*$G28*$L28*$BI$12)</f>
        <v>0</v>
      </c>
      <c r="BJ28" s="182"/>
      <c r="BK28" s="183">
        <f>(BJ28*$E28*$F28*$G28*$L28*$BK$12)</f>
        <v>0</v>
      </c>
      <c r="BL28" s="182">
        <v>44</v>
      </c>
      <c r="BM28" s="182">
        <f t="shared" si="36"/>
        <v>870859.32810676785</v>
      </c>
      <c r="BN28" s="182">
        <v>9</v>
      </c>
      <c r="BO28" s="182">
        <f>(BN28*$E28*$F28*$G28*$M28*$BO$12)</f>
        <v>168447.39912000002</v>
      </c>
      <c r="BP28" s="182"/>
      <c r="BQ28" s="182">
        <f>(BP28*$E28*$F28*$G28*$M28*$BQ$12)</f>
        <v>0</v>
      </c>
      <c r="BR28" s="182">
        <v>215</v>
      </c>
      <c r="BS28" s="183">
        <f>(BR28*$E28*$F28*$G28*$M28*$BS$12)</f>
        <v>3658201.0919999997</v>
      </c>
      <c r="BT28" s="182">
        <v>200</v>
      </c>
      <c r="BU28" s="182">
        <f t="shared" si="37"/>
        <v>3790921.7619436798</v>
      </c>
      <c r="BV28" s="182"/>
      <c r="BW28" s="182">
        <f>(BV28*$E28*$F28*$G28*$M28*$BW$12)</f>
        <v>0</v>
      </c>
      <c r="BX28" s="182"/>
      <c r="BY28" s="183">
        <f t="shared" si="31"/>
        <v>0</v>
      </c>
      <c r="BZ28" s="182">
        <v>280</v>
      </c>
      <c r="CA28" s="187">
        <f t="shared" si="32"/>
        <v>6226411.3925831988</v>
      </c>
      <c r="CB28" s="182"/>
      <c r="CC28" s="182">
        <f>(CB28*$E28*$F28*$G28*$L28*$CC$12)</f>
        <v>0</v>
      </c>
      <c r="CD28" s="182"/>
      <c r="CE28" s="182">
        <f>(CD28*$E28*$F28*$G28*$L28*$CE$12)</f>
        <v>0</v>
      </c>
      <c r="CF28" s="182"/>
      <c r="CG28" s="182">
        <f>(CF28*$E28*$F28*$G28*$L28*$CG$12)</f>
        <v>0</v>
      </c>
      <c r="CH28" s="182">
        <v>80</v>
      </c>
      <c r="CI28" s="182">
        <f t="shared" si="33"/>
        <v>1516959.0079862401</v>
      </c>
      <c r="CJ28" s="182"/>
      <c r="CK28" s="182">
        <f t="shared" si="34"/>
        <v>0</v>
      </c>
      <c r="CL28" s="182"/>
      <c r="CM28" s="183">
        <f>(CL28*$E28*$F28*$G28*$L28*$CM$12)</f>
        <v>0</v>
      </c>
      <c r="CN28" s="182">
        <v>28</v>
      </c>
      <c r="CO28" s="183">
        <f>(CN28*$E28*$F28*$G28*$L28*$CO$12)</f>
        <v>317611.25759999995</v>
      </c>
      <c r="CP28" s="182">
        <v>4</v>
      </c>
      <c r="CQ28" s="182">
        <f>(CP28*$E28*$F28*$G28*$L28*$CQ$12)/12*11+(CP28*$E28*$F28*$G28*$L28*$CQ$12*$CQ$15)/12</f>
        <v>62859.805182719996</v>
      </c>
      <c r="CR28" s="182"/>
      <c r="CS28" s="182">
        <f>(CR28*$E28*$F28*$G28*$L28*$CS$12)</f>
        <v>0</v>
      </c>
      <c r="CT28" s="182">
        <v>11</v>
      </c>
      <c r="CU28" s="182">
        <f t="shared" si="38"/>
        <v>163735.55103906</v>
      </c>
      <c r="CV28" s="182">
        <v>33</v>
      </c>
      <c r="CW28" s="182">
        <v>561491.37000000034</v>
      </c>
      <c r="CX28" s="182">
        <v>8</v>
      </c>
      <c r="CY28" s="182">
        <f t="shared" si="40"/>
        <v>146898.382752576</v>
      </c>
      <c r="CZ28" s="182"/>
      <c r="DA28" s="182">
        <v>0</v>
      </c>
      <c r="DB28" s="188"/>
      <c r="DC28" s="182">
        <f>(DB28*$E28*$F28*$G28*$M28*$DC$12)</f>
        <v>0</v>
      </c>
      <c r="DD28" s="182"/>
      <c r="DE28" s="187">
        <f t="shared" si="35"/>
        <v>0</v>
      </c>
      <c r="DF28" s="182"/>
      <c r="DG28" s="182">
        <f>(DF28*$E28*$F28*$G28*$M28*$DG$12)</f>
        <v>0</v>
      </c>
      <c r="DH28" s="189">
        <f>ROUND(20*0.75,0)</f>
        <v>15</v>
      </c>
      <c r="DI28" s="182">
        <f>(DH28*$E28*$F28*$G28*$M28*$DI$12)</f>
        <v>255223.33199999999</v>
      </c>
      <c r="DJ28" s="182">
        <v>40</v>
      </c>
      <c r="DK28" s="182">
        <f t="shared" si="39"/>
        <v>741639.3013848</v>
      </c>
      <c r="DL28" s="182"/>
      <c r="DM28" s="182">
        <f>(DL28*$E28*$F28*$G28*$N28*$DM$12)</f>
        <v>0</v>
      </c>
      <c r="DN28" s="182">
        <f>ROUND(3*0.75,0)</f>
        <v>2</v>
      </c>
      <c r="DO28" s="190">
        <f>(DN28*$E28*$F28*$G28*$O28*$DO$12)</f>
        <v>52057.457399999999</v>
      </c>
      <c r="DP28" s="187"/>
      <c r="DQ28" s="187"/>
      <c r="DR28" s="183">
        <f t="shared" si="9"/>
        <v>1739</v>
      </c>
      <c r="DS28" s="183">
        <f t="shared" si="9"/>
        <v>30700747.1710428</v>
      </c>
      <c r="DT28" s="182">
        <v>1616</v>
      </c>
      <c r="DU28" s="182">
        <v>27398008.667719997</v>
      </c>
      <c r="DV28" s="167">
        <f t="shared" si="5"/>
        <v>123</v>
      </c>
      <c r="DW28" s="167">
        <f t="shared" si="5"/>
        <v>3302738.5033228025</v>
      </c>
    </row>
    <row r="29" spans="1:127" ht="30" customHeight="1" x14ac:dyDescent="0.25">
      <c r="A29" s="154"/>
      <c r="B29" s="176">
        <v>12</v>
      </c>
      <c r="C29" s="177" t="s">
        <v>160</v>
      </c>
      <c r="D29" s="178" t="s">
        <v>161</v>
      </c>
      <c r="E29" s="158">
        <v>25969</v>
      </c>
      <c r="F29" s="180">
        <v>0.57999999999999996</v>
      </c>
      <c r="G29" s="168">
        <v>1</v>
      </c>
      <c r="H29" s="169"/>
      <c r="I29" s="169"/>
      <c r="J29" s="169"/>
      <c r="K29" s="106"/>
      <c r="L29" s="180">
        <v>1.4</v>
      </c>
      <c r="M29" s="180">
        <v>1.68</v>
      </c>
      <c r="N29" s="180">
        <v>2.23</v>
      </c>
      <c r="O29" s="181">
        <v>2.57</v>
      </c>
      <c r="P29" s="182">
        <v>227</v>
      </c>
      <c r="Q29" s="182">
        <f>(P29*$E29*$F29*$G29*$L29*$Q$12)</f>
        <v>5265380.9515999993</v>
      </c>
      <c r="R29" s="182"/>
      <c r="S29" s="182">
        <f>(R29*$E29*$F29*$G29*$L29*$S$12)</f>
        <v>0</v>
      </c>
      <c r="T29" s="182"/>
      <c r="U29" s="182">
        <f>(T29*$E29*$F29*$G29*$L29*$U$12)</f>
        <v>0</v>
      </c>
      <c r="V29" s="182">
        <v>200</v>
      </c>
      <c r="W29" s="183">
        <f t="shared" si="27"/>
        <v>5363465.6291477336</v>
      </c>
      <c r="X29" s="183">
        <v>2</v>
      </c>
      <c r="Y29" s="183">
        <v>59043.118399999992</v>
      </c>
      <c r="Z29" s="183"/>
      <c r="AA29" s="183">
        <v>0</v>
      </c>
      <c r="AB29" s="182">
        <f t="shared" si="28"/>
        <v>2</v>
      </c>
      <c r="AC29" s="182">
        <f t="shared" si="28"/>
        <v>59043.118399999992</v>
      </c>
      <c r="AD29" s="182"/>
      <c r="AE29" s="182">
        <f>(AD29*$E29*$F29*$G29*$L29*$AE$12)</f>
        <v>0</v>
      </c>
      <c r="AF29" s="182"/>
      <c r="AG29" s="182"/>
      <c r="AH29" s="182">
        <v>25</v>
      </c>
      <c r="AI29" s="182">
        <f>(AH29*$E29*$F29*$G29*$L29*$AI$12)</f>
        <v>579887.77</v>
      </c>
      <c r="AJ29" s="182"/>
      <c r="AK29" s="182"/>
      <c r="AL29" s="182"/>
      <c r="AM29" s="182"/>
      <c r="AN29" s="184"/>
      <c r="AO29" s="182">
        <f>(AN29*$E29*$F29*$G29*$L29*$AO$12)</f>
        <v>0</v>
      </c>
      <c r="AP29" s="182">
        <f>350+100</f>
        <v>450</v>
      </c>
      <c r="AQ29" s="183">
        <f>(AP29*$E29*$F29*$G29*$L29*$AQ$12)</f>
        <v>10437979.859999998</v>
      </c>
      <c r="AR29" s="192">
        <v>270</v>
      </c>
      <c r="AS29" s="182">
        <f t="shared" si="29"/>
        <v>6760869.336773999</v>
      </c>
      <c r="AT29" s="182"/>
      <c r="AU29" s="182">
        <f t="shared" si="30"/>
        <v>0</v>
      </c>
      <c r="AV29" s="186"/>
      <c r="AW29" s="182">
        <f>(AV29*$E29*$F29*$G29*$M29*$AW$12)</f>
        <v>0</v>
      </c>
      <c r="AX29" s="182">
        <v>70</v>
      </c>
      <c r="AY29" s="187">
        <f>(AX29*$E29*$F29*$G29*$M29*$AY$12)</f>
        <v>1948422.9071999998</v>
      </c>
      <c r="AZ29" s="182"/>
      <c r="BA29" s="182">
        <f>(AZ29*$E29*$F29*$G29*$L29*$BA$12)</f>
        <v>0</v>
      </c>
      <c r="BB29" s="182"/>
      <c r="BC29" s="182">
        <f>(BB29*$E29*$F29*$G29*$L29*$BC$12)</f>
        <v>0</v>
      </c>
      <c r="BD29" s="182"/>
      <c r="BE29" s="182">
        <f>(BD29*$E29*$F29*$G29*$L29*$BE$12)</f>
        <v>0</v>
      </c>
      <c r="BF29" s="182"/>
      <c r="BG29" s="182">
        <f>(BF29*$E29*$F29*$G29*$L29*$BG$12)</f>
        <v>0</v>
      </c>
      <c r="BH29" s="182"/>
      <c r="BI29" s="183">
        <f>(BH29*$E29*$F29*$G29*$L29*$BI$12)</f>
        <v>0</v>
      </c>
      <c r="BJ29" s="182"/>
      <c r="BK29" s="183">
        <f>(BJ29*$E29*$F29*$G29*$L29*$BK$12)</f>
        <v>0</v>
      </c>
      <c r="BL29" s="182">
        <v>99</v>
      </c>
      <c r="BM29" s="182">
        <f t="shared" si="36"/>
        <v>2914029.2902034158</v>
      </c>
      <c r="BN29" s="182"/>
      <c r="BO29" s="182">
        <f>(BN29*$E29*$F29*$G29*$M29*$BO$12)</f>
        <v>0</v>
      </c>
      <c r="BP29" s="182"/>
      <c r="BQ29" s="182">
        <f>(BP29*$E29*$F29*$G29*$M29*$BQ$12)</f>
        <v>0</v>
      </c>
      <c r="BR29" s="182">
        <v>1575</v>
      </c>
      <c r="BS29" s="183">
        <f>(BR29*$E29*$F29*$G29*$M29*$BS$12)</f>
        <v>39854104.920000002</v>
      </c>
      <c r="BT29" s="182">
        <v>24</v>
      </c>
      <c r="BU29" s="182">
        <f t="shared" si="37"/>
        <v>676533.72982379515</v>
      </c>
      <c r="BV29" s="182"/>
      <c r="BW29" s="182">
        <f>(BV29*$E29*$F29*$G29*$M29*$BW$12)</f>
        <v>0</v>
      </c>
      <c r="BX29" s="182">
        <v>5</v>
      </c>
      <c r="BY29" s="183">
        <f t="shared" si="31"/>
        <v>170636.29912223996</v>
      </c>
      <c r="BZ29" s="182">
        <v>1</v>
      </c>
      <c r="CA29" s="187">
        <f t="shared" si="32"/>
        <v>33070.683220679995</v>
      </c>
      <c r="CB29" s="182"/>
      <c r="CC29" s="182">
        <f>(CB29*$E29*$F29*$G29*$L29*$CC$12)</f>
        <v>0</v>
      </c>
      <c r="CD29" s="182"/>
      <c r="CE29" s="182">
        <f>(CD29*$E29*$F29*$G29*$L29*$CE$12)</f>
        <v>0</v>
      </c>
      <c r="CF29" s="182">
        <v>130</v>
      </c>
      <c r="CG29" s="182">
        <f>(CF29*$E29*$F29*$G29*$L29*$CG$12)</f>
        <v>2741287.6399999997</v>
      </c>
      <c r="CH29" s="182">
        <v>20</v>
      </c>
      <c r="CI29" s="182">
        <f t="shared" si="33"/>
        <v>563997.57989231998</v>
      </c>
      <c r="CJ29" s="182"/>
      <c r="CK29" s="182">
        <f t="shared" si="34"/>
        <v>0</v>
      </c>
      <c r="CL29" s="182"/>
      <c r="CM29" s="183">
        <f>(CL29*$E29*$F29*$G29*$L29*$CM$12)</f>
        <v>0</v>
      </c>
      <c r="CN29" s="182"/>
      <c r="CO29" s="183">
        <f>(CN29*$E29*$F29*$G29*$L29*$CO$12)</f>
        <v>0</v>
      </c>
      <c r="CP29" s="182"/>
      <c r="CQ29" s="182">
        <f>(CP29*$E29*$F29*$G29*$L29*$CQ$12)</f>
        <v>0</v>
      </c>
      <c r="CR29" s="182"/>
      <c r="CS29" s="182">
        <f>(CR29*$E29*$F29*$G29*$L29*$CS$12)</f>
        <v>0</v>
      </c>
      <c r="CT29" s="182"/>
      <c r="CU29" s="182">
        <f>(CT29*$E29*$F29*$G29*$L29*$CU$12)</f>
        <v>0</v>
      </c>
      <c r="CV29" s="182"/>
      <c r="CW29" s="182">
        <v>0</v>
      </c>
      <c r="CX29" s="182"/>
      <c r="CY29" s="182">
        <f>(CX29*$E29*$F29*$G29*$M29*$CY$12)</f>
        <v>0</v>
      </c>
      <c r="CZ29" s="182"/>
      <c r="DA29" s="182">
        <v>0</v>
      </c>
      <c r="DB29" s="188"/>
      <c r="DC29" s="182">
        <f>(DB29*$E29*$F29*$G29*$M29*$DC$12)</f>
        <v>0</v>
      </c>
      <c r="DD29" s="182"/>
      <c r="DE29" s="187">
        <f t="shared" si="35"/>
        <v>0</v>
      </c>
      <c r="DF29" s="182"/>
      <c r="DG29" s="182">
        <f>(DF29*$E29*$F29*$G29*$M29*$DG$12)</f>
        <v>0</v>
      </c>
      <c r="DH29" s="189"/>
      <c r="DI29" s="182">
        <f>(DH29*$E29*$F29*$G29*$M29*$DI$12)</f>
        <v>0</v>
      </c>
      <c r="DJ29" s="182">
        <v>1</v>
      </c>
      <c r="DK29" s="182">
        <f t="shared" si="39"/>
        <v>27573.768897639991</v>
      </c>
      <c r="DL29" s="182"/>
      <c r="DM29" s="182">
        <f>(DL29*$E29*$F29*$G29*$N29*$DM$12)</f>
        <v>0</v>
      </c>
      <c r="DN29" s="182">
        <f>ROUND(2*0.75,0)</f>
        <v>2</v>
      </c>
      <c r="DO29" s="190">
        <f>(DN29*$E29*$F29*$G29*$O29*$DO$12)</f>
        <v>77418.782799999986</v>
      </c>
      <c r="DP29" s="187"/>
      <c r="DQ29" s="187"/>
      <c r="DR29" s="183">
        <f t="shared" si="9"/>
        <v>3101</v>
      </c>
      <c r="DS29" s="183">
        <f t="shared" si="9"/>
        <v>77473702.267081827</v>
      </c>
      <c r="DT29" s="182">
        <v>3101</v>
      </c>
      <c r="DU29" s="182">
        <v>76651774.534866631</v>
      </c>
      <c r="DV29" s="167">
        <f t="shared" si="5"/>
        <v>0</v>
      </c>
      <c r="DW29" s="167">
        <f t="shared" si="5"/>
        <v>821927.73221519589</v>
      </c>
    </row>
    <row r="30" spans="1:127" ht="30" customHeight="1" x14ac:dyDescent="0.25">
      <c r="A30" s="154"/>
      <c r="B30" s="176">
        <v>13</v>
      </c>
      <c r="C30" s="177" t="s">
        <v>162</v>
      </c>
      <c r="D30" s="178" t="s">
        <v>163</v>
      </c>
      <c r="E30" s="158">
        <v>25969</v>
      </c>
      <c r="F30" s="180">
        <v>1.17</v>
      </c>
      <c r="G30" s="168">
        <v>1</v>
      </c>
      <c r="H30" s="169"/>
      <c r="I30" s="169"/>
      <c r="J30" s="169"/>
      <c r="K30" s="106"/>
      <c r="L30" s="180">
        <v>1.4</v>
      </c>
      <c r="M30" s="180">
        <v>1.68</v>
      </c>
      <c r="N30" s="180">
        <v>2.23</v>
      </c>
      <c r="O30" s="181">
        <v>2.57</v>
      </c>
      <c r="P30" s="182">
        <v>493</v>
      </c>
      <c r="Q30" s="182">
        <f>(P30*$E30*$F30*$G30*$L30)</f>
        <v>20970850.445999999</v>
      </c>
      <c r="R30" s="182">
        <v>1</v>
      </c>
      <c r="S30" s="187">
        <f>(R30*$E30*$F30*$G30*$L30)</f>
        <v>42537.221999999994</v>
      </c>
      <c r="T30" s="182">
        <v>1</v>
      </c>
      <c r="U30" s="182">
        <f>(T30*$E30*$F30*$G30*$L30)</f>
        <v>42537.221999999994</v>
      </c>
      <c r="V30" s="182">
        <v>622</v>
      </c>
      <c r="W30" s="182">
        <f>(V30*$E30*$F30*$G30*$L30)</f>
        <v>26458152.083999995</v>
      </c>
      <c r="X30" s="182">
        <v>40</v>
      </c>
      <c r="Y30" s="182">
        <v>1701488.88</v>
      </c>
      <c r="Z30" s="182">
        <v>1</v>
      </c>
      <c r="AA30" s="182">
        <v>51044.666399999995</v>
      </c>
      <c r="AB30" s="182">
        <f>X30+Z30</f>
        <v>41</v>
      </c>
      <c r="AC30" s="182">
        <f>Y30+AA30</f>
        <v>1752533.5463999999</v>
      </c>
      <c r="AD30" s="182"/>
      <c r="AE30" s="182">
        <f>(AD30*$E30*$F30*$G30*$L30)</f>
        <v>0</v>
      </c>
      <c r="AF30" s="182"/>
      <c r="AG30" s="182"/>
      <c r="AH30" s="182">
        <v>50</v>
      </c>
      <c r="AI30" s="182">
        <f>(AH30*$E30*$F30*$G30*$L30)</f>
        <v>2126861.1</v>
      </c>
      <c r="AJ30" s="182"/>
      <c r="AK30" s="182"/>
      <c r="AL30" s="182"/>
      <c r="AM30" s="182"/>
      <c r="AN30" s="184"/>
      <c r="AO30" s="182">
        <f>(AN30*$E30*$F30*$G30*$L30)</f>
        <v>0</v>
      </c>
      <c r="AP30" s="182">
        <v>360</v>
      </c>
      <c r="AQ30" s="182">
        <f>(AP30*$E30*$F30*$G30*$L30)</f>
        <v>15313399.919999998</v>
      </c>
      <c r="AR30" s="192">
        <v>295</v>
      </c>
      <c r="AS30" s="182">
        <f>(AR30*$E30*$F30*$G30*$L30)</f>
        <v>12548480.489999998</v>
      </c>
      <c r="AT30" s="182">
        <v>2</v>
      </c>
      <c r="AU30" s="183">
        <f>(AT30*$E30*$F30*$G30*$M30)</f>
        <v>102089.33279999999</v>
      </c>
      <c r="AV30" s="188">
        <v>7</v>
      </c>
      <c r="AW30" s="182">
        <v>357312.68999999994</v>
      </c>
      <c r="AX30" s="182">
        <v>21</v>
      </c>
      <c r="AY30" s="187">
        <f>(AX30*$E30*$F30*$G30*$M30)</f>
        <v>1071937.9944</v>
      </c>
      <c r="AZ30" s="182"/>
      <c r="BA30" s="182">
        <f>(AZ30*$E30*$F30*$G30*$L30*AO$12)</f>
        <v>0</v>
      </c>
      <c r="BB30" s="182"/>
      <c r="BC30" s="182">
        <f>(BB30*$E30*$F30*$G30*$L30*AQ$12)</f>
        <v>0</v>
      </c>
      <c r="BD30" s="182"/>
      <c r="BE30" s="182">
        <f>(BD30*$E30*$F30*$G30*$L30*BE$12)</f>
        <v>0</v>
      </c>
      <c r="BF30" s="182">
        <v>8</v>
      </c>
      <c r="BG30" s="182">
        <v>476998.56</v>
      </c>
      <c r="BH30" s="182"/>
      <c r="BI30" s="182">
        <f>(BH30*$E30*$F30*$G30*$L30)</f>
        <v>0</v>
      </c>
      <c r="BJ30" s="182"/>
      <c r="BK30" s="182"/>
      <c r="BL30" s="182">
        <v>25</v>
      </c>
      <c r="BM30" s="182">
        <f>(BL30*$E30*$F30*$G30*$L30)</f>
        <v>1063430.55</v>
      </c>
      <c r="BN30" s="182">
        <v>5</v>
      </c>
      <c r="BO30" s="182">
        <f>(BN30*$E30*$F30*$G30*$M30)</f>
        <v>255223.33199999999</v>
      </c>
      <c r="BP30" s="182"/>
      <c r="BQ30" s="182">
        <f>(BP30*$E30*$F30*$G30*$M30)</f>
        <v>0</v>
      </c>
      <c r="BR30" s="182">
        <v>423</v>
      </c>
      <c r="BS30" s="182">
        <f>(BR30*$E30*$F30*$G30*$M30)</f>
        <v>21591893.887199998</v>
      </c>
      <c r="BT30" s="182">
        <v>30</v>
      </c>
      <c r="BU30" s="182">
        <f>(BT30*$E30*$F30*$G30*$M30)</f>
        <v>1531339.9919999999</v>
      </c>
      <c r="BV30" s="182"/>
      <c r="BW30" s="182">
        <f>(BV30*$E30*$F30*$G30*$M30)</f>
        <v>0</v>
      </c>
      <c r="BX30" s="182">
        <v>10</v>
      </c>
      <c r="BY30" s="182">
        <f>(BX30*$E30*$F30*$G30*$M30)</f>
        <v>510446.66399999999</v>
      </c>
      <c r="BZ30" s="182">
        <v>53</v>
      </c>
      <c r="CA30" s="187">
        <f>(BZ30*$E30*$F30*$G30*$M30)</f>
        <v>2705367.3191999998</v>
      </c>
      <c r="CB30" s="182"/>
      <c r="CC30" s="182">
        <f>(CB30*$E30*$F30*$G30*$L30)</f>
        <v>0</v>
      </c>
      <c r="CD30" s="182"/>
      <c r="CE30" s="182">
        <f>(CD30*$E30*$F30*$G30*$L30)</f>
        <v>0</v>
      </c>
      <c r="CF30" s="182"/>
      <c r="CG30" s="182">
        <f>(CF30*$E30*$F30*$G30*$L30)</f>
        <v>0</v>
      </c>
      <c r="CH30" s="182">
        <v>20</v>
      </c>
      <c r="CI30" s="182">
        <f>(CH30*$E30*$F30*$G30*$M30)</f>
        <v>1020893.328</v>
      </c>
      <c r="CJ30" s="182"/>
      <c r="CK30" s="182">
        <f>(CJ30*$E30*$F30*$G30*$L30)</f>
        <v>0</v>
      </c>
      <c r="CL30" s="182"/>
      <c r="CM30" s="182">
        <f>(CL30*$E30*$F30*$G30*$L30)</f>
        <v>0</v>
      </c>
      <c r="CN30" s="182"/>
      <c r="CO30" s="182">
        <f>(CN30*$E30*$F30*$G30*$L30)</f>
        <v>0</v>
      </c>
      <c r="CP30" s="182"/>
      <c r="CQ30" s="182">
        <f>(CP30*$E30*$F30*$G30*$L30)</f>
        <v>0</v>
      </c>
      <c r="CR30" s="182"/>
      <c r="CS30" s="182">
        <f>(CR30*$E30*$F30*$G30*$L30)</f>
        <v>0</v>
      </c>
      <c r="CT30" s="182">
        <v>5</v>
      </c>
      <c r="CU30" s="182">
        <f>(CT30*$E30*$F30*$G30*$L30)</f>
        <v>212686.11</v>
      </c>
      <c r="CV30" s="182">
        <v>14</v>
      </c>
      <c r="CW30" s="182">
        <v>714625.38</v>
      </c>
      <c r="CX30" s="182">
        <v>7</v>
      </c>
      <c r="CY30" s="182">
        <f>(CX30*$E30*$F30*$G30*$M30)</f>
        <v>357312.66479999997</v>
      </c>
      <c r="CZ30" s="182"/>
      <c r="DA30" s="182">
        <v>0</v>
      </c>
      <c r="DB30" s="188"/>
      <c r="DC30" s="182">
        <f>(DB30*$E30*$F30*$G30*$M30)</f>
        <v>0</v>
      </c>
      <c r="DD30" s="182"/>
      <c r="DE30" s="187">
        <f>(DD30*$E30*$F30*$G30*$M30)</f>
        <v>0</v>
      </c>
      <c r="DF30" s="182"/>
      <c r="DG30" s="182"/>
      <c r="DH30" s="189">
        <f>ROUND(1*0.75,0)</f>
        <v>1</v>
      </c>
      <c r="DI30" s="182">
        <f>(DH30*$E30*$F30*$G30*$M30)</f>
        <v>51044.666399999995</v>
      </c>
      <c r="DJ30" s="182">
        <v>6</v>
      </c>
      <c r="DK30" s="182">
        <f>(DJ30*$E30*$F30*$G30*$M30)</f>
        <v>306267.99839999992</v>
      </c>
      <c r="DL30" s="182"/>
      <c r="DM30" s="182">
        <f>(DL30*$E30*$F30*$G30*$N30)</f>
        <v>0</v>
      </c>
      <c r="DN30" s="182">
        <f>ROUND(1*0.75,0)</f>
        <v>1</v>
      </c>
      <c r="DO30" s="187">
        <f>(DN30*$E30*$F30*$G30*$O30)</f>
        <v>78086.186099999992</v>
      </c>
      <c r="DP30" s="187"/>
      <c r="DQ30" s="187"/>
      <c r="DR30" s="183">
        <f t="shared" si="9"/>
        <v>2501</v>
      </c>
      <c r="DS30" s="183">
        <f t="shared" si="9"/>
        <v>111662308.68569998</v>
      </c>
      <c r="DT30" s="182">
        <v>2529</v>
      </c>
      <c r="DU30" s="182">
        <v>113100066.76409999</v>
      </c>
      <c r="DV30" s="167">
        <f t="shared" si="5"/>
        <v>-28</v>
      </c>
      <c r="DW30" s="167">
        <f t="shared" si="5"/>
        <v>-1437758.0784000009</v>
      </c>
    </row>
    <row r="31" spans="1:127" ht="30" customHeight="1" x14ac:dyDescent="0.25">
      <c r="A31" s="154"/>
      <c r="B31" s="176">
        <v>14</v>
      </c>
      <c r="C31" s="177" t="s">
        <v>164</v>
      </c>
      <c r="D31" s="178" t="s">
        <v>165</v>
      </c>
      <c r="E31" s="158">
        <v>25969</v>
      </c>
      <c r="F31" s="180">
        <v>2.2000000000000002</v>
      </c>
      <c r="G31" s="168">
        <v>1</v>
      </c>
      <c r="H31" s="169"/>
      <c r="I31" s="169"/>
      <c r="J31" s="169"/>
      <c r="K31" s="106"/>
      <c r="L31" s="180">
        <v>1.4</v>
      </c>
      <c r="M31" s="180">
        <v>1.68</v>
      </c>
      <c r="N31" s="180">
        <v>2.23</v>
      </c>
      <c r="O31" s="181">
        <v>2.57</v>
      </c>
      <c r="P31" s="182">
        <v>174</v>
      </c>
      <c r="Q31" s="182">
        <f>(P31*$E31*$F31*$G31*$L31*$Q$12)</f>
        <v>15309037.128000002</v>
      </c>
      <c r="R31" s="182"/>
      <c r="S31" s="182">
        <f>(R31*$E31*$F31*$G31*$L31*$S$12)</f>
        <v>0</v>
      </c>
      <c r="T31" s="182"/>
      <c r="U31" s="182">
        <f>(T31*$E31*$F31*$G31*$L31*$U$12)</f>
        <v>0</v>
      </c>
      <c r="V31" s="182">
        <v>310</v>
      </c>
      <c r="W31" s="183">
        <f>(V31*$E31*$F31*$G31*$L31*$W$12)/12*10+(V31*$E31*$F31*$G31*$L31*$W$13)/12*1+(V31*$E31*$F31*$G31*$L31*$W$14*$W$15)/12*1</f>
        <v>31533478.95757547</v>
      </c>
      <c r="X31" s="183">
        <v>3</v>
      </c>
      <c r="Y31" s="183">
        <v>335934.984</v>
      </c>
      <c r="Z31" s="183">
        <v>0</v>
      </c>
      <c r="AA31" s="183">
        <v>0</v>
      </c>
      <c r="AB31" s="182">
        <f t="shared" ref="AB31:AC32" si="41">X31+Z31</f>
        <v>3</v>
      </c>
      <c r="AC31" s="182">
        <f t="shared" si="41"/>
        <v>335934.984</v>
      </c>
      <c r="AD31" s="182"/>
      <c r="AE31" s="182">
        <f>(AD31*$E31*$F31*$G31*$L31*$AE$12)</f>
        <v>0</v>
      </c>
      <c r="AF31" s="182"/>
      <c r="AG31" s="182"/>
      <c r="AH31" s="182">
        <v>15</v>
      </c>
      <c r="AI31" s="182">
        <f>(AH31*$E31*$F31*$G31*$L31*$AI$12)</f>
        <v>1319744.58</v>
      </c>
      <c r="AJ31" s="182"/>
      <c r="AK31" s="182"/>
      <c r="AL31" s="182"/>
      <c r="AM31" s="182"/>
      <c r="AN31" s="184"/>
      <c r="AO31" s="182">
        <f>(AN31*$E31*$F31*$G31*$L31*$AO$12)</f>
        <v>0</v>
      </c>
      <c r="AP31" s="182">
        <f>45+2</f>
        <v>47</v>
      </c>
      <c r="AQ31" s="183">
        <f>(AP31*$E31*$F31*$G31*$L31*$AQ$12)</f>
        <v>4135199.6840000004</v>
      </c>
      <c r="AR31" s="192">
        <v>196</v>
      </c>
      <c r="AS31" s="182">
        <f>(AR31*$E31*$F31*$G31*$L31*$AS$12)/12*10+(AR31*$E31*$F31*$G31*$L31*$AS$13)/12*1+(AR31*$E31*$F31*$L31*$G31*$AS$14*$AS$15)/12*1</f>
        <v>18616135.747234669</v>
      </c>
      <c r="AT31" s="182"/>
      <c r="AU31" s="182">
        <f>(AT31*$E31*$F31*$G31*$M31*$AU$12)</f>
        <v>0</v>
      </c>
      <c r="AV31" s="186">
        <v>1</v>
      </c>
      <c r="AW31" s="182">
        <v>134373.99</v>
      </c>
      <c r="AX31" s="182">
        <v>1</v>
      </c>
      <c r="AY31" s="187">
        <f>(AX31*$E31*$F31*$G31*$M31*$AY$12)</f>
        <v>105579.56640000001</v>
      </c>
      <c r="AZ31" s="182"/>
      <c r="BA31" s="182">
        <f>(AZ31*$E31*$F31*$G31*$L31*$BA$12)</f>
        <v>0</v>
      </c>
      <c r="BB31" s="182">
        <v>0</v>
      </c>
      <c r="BC31" s="182">
        <f>(BB31*$E31*$F31*$G31*$L31*$BC$12)</f>
        <v>0</v>
      </c>
      <c r="BD31" s="182"/>
      <c r="BE31" s="182">
        <f>(BD31*$E31*$F31*$G31*$L31*$BE$12)</f>
        <v>0</v>
      </c>
      <c r="BF31" s="182"/>
      <c r="BG31" s="182">
        <f>(BF31*$E31*$F31*$G31*$L31*$BG$12)</f>
        <v>0</v>
      </c>
      <c r="BH31" s="182"/>
      <c r="BI31" s="183">
        <f>(BH31*$E31*$F31*$G31*$L31*$BI$12)</f>
        <v>0</v>
      </c>
      <c r="BJ31" s="182"/>
      <c r="BK31" s="183">
        <f>(BJ31*$E31*$F31*$G31*$L31*$BK$12)</f>
        <v>0</v>
      </c>
      <c r="BL31" s="182">
        <v>7</v>
      </c>
      <c r="BM31" s="182">
        <f t="shared" si="36"/>
        <v>781540.42265992006</v>
      </c>
      <c r="BN31" s="182"/>
      <c r="BO31" s="182">
        <f>(BN31*$E31*$F31*$G31*$M31*$BO$12)</f>
        <v>0</v>
      </c>
      <c r="BP31" s="182"/>
      <c r="BQ31" s="182">
        <f>(BP31*$E31*$F31*$G31*$M31*$BQ$12)</f>
        <v>0</v>
      </c>
      <c r="BR31" s="182">
        <v>30</v>
      </c>
      <c r="BS31" s="183">
        <f>(BR31*$E31*$F31*$G31*$M31*$BS$12)</f>
        <v>2879442.72</v>
      </c>
      <c r="BT31" s="182">
        <v>20</v>
      </c>
      <c r="BU31" s="182">
        <f>(BT31*$E31*$F31*$G31*$M31*$BU$12)/12*10+(BT31*$E31*$F31*$G31*$M31*$BU$13)/12+(BT31*$E31*$F31*$G31*$M31*$BU$13*$BU$15)/12</f>
        <v>2138468.6862246403</v>
      </c>
      <c r="BV31" s="182"/>
      <c r="BW31" s="182">
        <f>(BV31*$E31*$F31*$G31*$M31*$BW$12)</f>
        <v>0</v>
      </c>
      <c r="BX31" s="182">
        <v>1</v>
      </c>
      <c r="BY31" s="183">
        <f>(BX31*$E31*$F31*$G31*$M31*$BY$12)/12*11+(BX31*$E31*$F31*$G31*$M31*$BY$12*$BY$15)/12</f>
        <v>129448.22692031998</v>
      </c>
      <c r="BZ31" s="182">
        <v>5</v>
      </c>
      <c r="CA31" s="187">
        <f>(BZ31*$E31*$F31*$G31*$M31*$CA$12)/12*11+(BZ31*$E31*$F31*$G31*$M31*$CA$12*$CA$15)/12</f>
        <v>627202.61280599993</v>
      </c>
      <c r="CB31" s="182"/>
      <c r="CC31" s="182">
        <f>(CB31*$E31*$F31*$G31*$L31*$CC$12)</f>
        <v>0</v>
      </c>
      <c r="CD31" s="182"/>
      <c r="CE31" s="182">
        <f>(CD31*$E31*$F31*$G31*$L31*$CE$12)</f>
        <v>0</v>
      </c>
      <c r="CF31" s="182">
        <v>5</v>
      </c>
      <c r="CG31" s="182">
        <f>(CF31*$E31*$F31*$G31*$L31*$CG$12)</f>
        <v>399922.6</v>
      </c>
      <c r="CH31" s="182"/>
      <c r="CI31" s="182">
        <f>(CH31*$E31*$F31*$G31*$M31*$CI$12)</f>
        <v>0</v>
      </c>
      <c r="CJ31" s="182"/>
      <c r="CK31" s="182">
        <f t="shared" ref="CK31:CK32" si="42">(CJ31*$E31*$F31*$G31*$L31*CK$12)</f>
        <v>0</v>
      </c>
      <c r="CL31" s="182"/>
      <c r="CM31" s="183">
        <f>(CL31*$E31*$F31*$G31*$L31*$CM$12)</f>
        <v>0</v>
      </c>
      <c r="CN31" s="182"/>
      <c r="CO31" s="183">
        <f>(CN31*$E31*$F31*$G31*$L31*$CO$12)</f>
        <v>0</v>
      </c>
      <c r="CP31" s="182"/>
      <c r="CQ31" s="182">
        <f>(CP31*$E31*$F31*$G31*$L31*$CQ$12)</f>
        <v>0</v>
      </c>
      <c r="CR31" s="182"/>
      <c r="CS31" s="182">
        <f>(CR31*$E31*$F31*$G31*$L31*$CS$12)</f>
        <v>0</v>
      </c>
      <c r="CT31" s="182"/>
      <c r="CU31" s="182">
        <f>(CT31*$E31*$F31*$G31*$L31*$CU$12)</f>
        <v>0</v>
      </c>
      <c r="CV31" s="182"/>
      <c r="CW31" s="182">
        <v>0</v>
      </c>
      <c r="CX31" s="182"/>
      <c r="CY31" s="182">
        <f>(CX31*$E31*$F31*$G31*$M31*$CY$12)</f>
        <v>0</v>
      </c>
      <c r="CZ31" s="182"/>
      <c r="DA31" s="182">
        <v>0</v>
      </c>
      <c r="DB31" s="188"/>
      <c r="DC31" s="182">
        <f>(DB31*$E31*$F31*$G31*$M31*$DC$12)</f>
        <v>0</v>
      </c>
      <c r="DD31" s="182"/>
      <c r="DE31" s="187">
        <f>(DD31*$E31*$F31*$G31*$M31*DE$12)</f>
        <v>0</v>
      </c>
      <c r="DF31" s="182"/>
      <c r="DG31" s="182">
        <f>(DF31*$E31*$F31*$G31*$M31*$DG$12)</f>
        <v>0</v>
      </c>
      <c r="DH31" s="189"/>
      <c r="DI31" s="182">
        <f>(DH31*$E31*$F31*$G31*$M31*$BY$12)</f>
        <v>0</v>
      </c>
      <c r="DJ31" s="182">
        <v>1</v>
      </c>
      <c r="DK31" s="182">
        <f>(DJ31/12*11*$E31*$F31*$G31*$M31*$DK$12)+(DJ31/12*1*$E31*$F31*$M31*$G31*$DK$12*$DK$15)</f>
        <v>104590.15788759998</v>
      </c>
      <c r="DL31" s="182"/>
      <c r="DM31" s="182">
        <f>(DL31*$E31*$F31*$G31*$N31*$DM$12)</f>
        <v>0</v>
      </c>
      <c r="DN31" s="182"/>
      <c r="DO31" s="190">
        <f>(DN31*$E31*$F31*$G31*$O31*$DO$12)</f>
        <v>0</v>
      </c>
      <c r="DP31" s="187"/>
      <c r="DQ31" s="187"/>
      <c r="DR31" s="183">
        <f t="shared" si="9"/>
        <v>816</v>
      </c>
      <c r="DS31" s="183">
        <f t="shared" si="9"/>
        <v>78550100.063708633</v>
      </c>
      <c r="DT31" s="182">
        <v>817</v>
      </c>
      <c r="DU31" s="182">
        <v>77501267.269066676</v>
      </c>
      <c r="DV31" s="167">
        <f t="shared" si="5"/>
        <v>-1</v>
      </c>
      <c r="DW31" s="167">
        <f t="shared" si="5"/>
        <v>1048832.7946419567</v>
      </c>
    </row>
    <row r="32" spans="1:127" ht="30" customHeight="1" x14ac:dyDescent="0.25">
      <c r="A32" s="154"/>
      <c r="B32" s="176">
        <v>15</v>
      </c>
      <c r="C32" s="310" t="s">
        <v>166</v>
      </c>
      <c r="D32" s="178" t="s">
        <v>167</v>
      </c>
      <c r="E32" s="158">
        <v>25969</v>
      </c>
      <c r="F32" s="180">
        <v>3.85</v>
      </c>
      <c r="G32" s="168">
        <v>1</v>
      </c>
      <c r="H32" s="169"/>
      <c r="I32" s="169"/>
      <c r="J32" s="169"/>
      <c r="K32" s="195">
        <v>0.30449999999999999</v>
      </c>
      <c r="L32" s="180">
        <v>1.4</v>
      </c>
      <c r="M32" s="180">
        <v>1.68</v>
      </c>
      <c r="N32" s="180">
        <v>2.23</v>
      </c>
      <c r="O32" s="181">
        <v>2.57</v>
      </c>
      <c r="P32" s="182">
        <v>5</v>
      </c>
      <c r="Q32" s="196">
        <f>(P32*$E32*$F32*((1-$K32)+$K32*$L32*$Q$12*$G32))</f>
        <v>582102.34139750001</v>
      </c>
      <c r="R32" s="182"/>
      <c r="S32" s="196">
        <f>(R32*$E32*$F32*((1-$K32)+$K32*$L32*$S$12*$G32))</f>
        <v>0</v>
      </c>
      <c r="T32" s="182"/>
      <c r="U32" s="196">
        <f>(T32*$E32*$F32*((1-$K32)+$K32*$L32*U$12*$G32))</f>
        <v>0</v>
      </c>
      <c r="V32" s="182">
        <v>15</v>
      </c>
      <c r="W32" s="196">
        <f>(V32*$E32*$F32*((1-$K32)+$K32*$L32*$W$12*$G32))/12*10+(V32*$E32*$F32*((1-$K32)+$K32*$L32*$W$13*$G32))/12*1+(V32*$E32*$F32*((1-$K32)+$K32*$L32*$W$14*$G32*$W$15))/12*1</f>
        <v>1856115.9988436142</v>
      </c>
      <c r="X32" s="196"/>
      <c r="Y32" s="196">
        <v>0</v>
      </c>
      <c r="Z32" s="196"/>
      <c r="AA32" s="196"/>
      <c r="AB32" s="182">
        <f t="shared" si="41"/>
        <v>0</v>
      </c>
      <c r="AC32" s="182">
        <f t="shared" si="41"/>
        <v>0</v>
      </c>
      <c r="AD32" s="182"/>
      <c r="AE32" s="196">
        <f>(AD32*$E32*$F32*((1-$K32)+$K32*$L32*$AE$12*$G32))</f>
        <v>0</v>
      </c>
      <c r="AF32" s="182"/>
      <c r="AG32" s="182"/>
      <c r="AH32" s="182"/>
      <c r="AI32" s="183"/>
      <c r="AJ32" s="182"/>
      <c r="AK32" s="182"/>
      <c r="AL32" s="182"/>
      <c r="AM32" s="182"/>
      <c r="AN32" s="184"/>
      <c r="AO32" s="196">
        <f>(AN32*$E32*$F32*((1-$K32)+$K32*$G32*AO$12*$L32))</f>
        <v>0</v>
      </c>
      <c r="AP32" s="182"/>
      <c r="AQ32" s="183"/>
      <c r="AR32" s="192"/>
      <c r="AS32" s="182"/>
      <c r="AT32" s="182"/>
      <c r="AU32" s="182"/>
      <c r="AV32" s="186"/>
      <c r="AW32" s="182"/>
      <c r="AX32" s="182"/>
      <c r="AY32" s="187"/>
      <c r="AZ32" s="182"/>
      <c r="BA32" s="182"/>
      <c r="BB32" s="182"/>
      <c r="BC32" s="182"/>
      <c r="BD32" s="182"/>
      <c r="BE32" s="182"/>
      <c r="BF32" s="182"/>
      <c r="BG32" s="182"/>
      <c r="BH32" s="182"/>
      <c r="BI32" s="182"/>
      <c r="BJ32" s="182"/>
      <c r="BK32" s="182"/>
      <c r="BL32" s="182"/>
      <c r="BM32" s="182"/>
      <c r="BN32" s="182">
        <v>5</v>
      </c>
      <c r="BO32" s="182"/>
      <c r="BP32" s="182"/>
      <c r="BQ32" s="182"/>
      <c r="BR32" s="182"/>
      <c r="BS32" s="183"/>
      <c r="BT32" s="182"/>
      <c r="BU32" s="182"/>
      <c r="BV32" s="182"/>
      <c r="BW32" s="182"/>
      <c r="BX32" s="182"/>
      <c r="BY32" s="183"/>
      <c r="BZ32" s="182"/>
      <c r="CA32" s="187"/>
      <c r="CB32" s="182"/>
      <c r="CC32" s="182"/>
      <c r="CD32" s="182"/>
      <c r="CE32" s="182"/>
      <c r="CF32" s="182"/>
      <c r="CG32" s="183"/>
      <c r="CH32" s="182"/>
      <c r="CI32" s="182"/>
      <c r="CJ32" s="182"/>
      <c r="CK32" s="182">
        <f t="shared" si="42"/>
        <v>0</v>
      </c>
      <c r="CL32" s="182"/>
      <c r="CM32" s="182"/>
      <c r="CN32" s="182"/>
      <c r="CO32" s="182"/>
      <c r="CP32" s="182"/>
      <c r="CQ32" s="182"/>
      <c r="CR32" s="182"/>
      <c r="CS32" s="182"/>
      <c r="CT32" s="182"/>
      <c r="CU32" s="182"/>
      <c r="CV32" s="182"/>
      <c r="CW32" s="182">
        <v>0</v>
      </c>
      <c r="CX32" s="182"/>
      <c r="CY32" s="182"/>
      <c r="CZ32" s="182"/>
      <c r="DA32" s="182">
        <v>0</v>
      </c>
      <c r="DB32" s="188"/>
      <c r="DC32" s="182"/>
      <c r="DD32" s="182"/>
      <c r="DE32" s="187"/>
      <c r="DF32" s="182"/>
      <c r="DG32" s="182"/>
      <c r="DH32" s="189"/>
      <c r="DI32" s="182"/>
      <c r="DJ32" s="182"/>
      <c r="DK32" s="182"/>
      <c r="DL32" s="182"/>
      <c r="DM32" s="182"/>
      <c r="DN32" s="182"/>
      <c r="DO32" s="187"/>
      <c r="DP32" s="187"/>
      <c r="DQ32" s="187"/>
      <c r="DR32" s="183">
        <f t="shared" si="9"/>
        <v>25</v>
      </c>
      <c r="DS32" s="183">
        <f t="shared" si="9"/>
        <v>2438218.3402411141</v>
      </c>
      <c r="DT32" s="182">
        <v>20</v>
      </c>
      <c r="DU32" s="182">
        <v>2434963.7433275003</v>
      </c>
      <c r="DV32" s="167">
        <f t="shared" si="5"/>
        <v>5</v>
      </c>
      <c r="DW32" s="167">
        <f t="shared" si="5"/>
        <v>3254.5969136138447</v>
      </c>
    </row>
    <row r="33" spans="1:128" ht="15.75" customHeight="1" x14ac:dyDescent="0.25">
      <c r="A33" s="170">
        <v>3</v>
      </c>
      <c r="B33" s="197"/>
      <c r="C33" s="198"/>
      <c r="D33" s="157" t="s">
        <v>168</v>
      </c>
      <c r="E33" s="158">
        <v>25969</v>
      </c>
      <c r="F33" s="199">
        <v>1.25</v>
      </c>
      <c r="G33" s="171"/>
      <c r="H33" s="169"/>
      <c r="I33" s="169"/>
      <c r="J33" s="169"/>
      <c r="K33" s="173"/>
      <c r="L33" s="174">
        <v>1.4</v>
      </c>
      <c r="M33" s="174">
        <v>1.68</v>
      </c>
      <c r="N33" s="174">
        <v>2.23</v>
      </c>
      <c r="O33" s="175">
        <v>2.57</v>
      </c>
      <c r="P33" s="166">
        <f t="shared" ref="P33:AD33" si="43">SUM(P34:P35)</f>
        <v>12</v>
      </c>
      <c r="Q33" s="166">
        <f t="shared" si="43"/>
        <v>801590.31679999991</v>
      </c>
      <c r="R33" s="166">
        <f t="shared" si="43"/>
        <v>1</v>
      </c>
      <c r="S33" s="166">
        <f t="shared" si="43"/>
        <v>9816.2819999999992</v>
      </c>
      <c r="T33" s="166">
        <f t="shared" si="43"/>
        <v>62</v>
      </c>
      <c r="U33" s="166">
        <f t="shared" si="43"/>
        <v>10886547.590799997</v>
      </c>
      <c r="V33" s="166">
        <f t="shared" si="43"/>
        <v>0</v>
      </c>
      <c r="W33" s="166">
        <f t="shared" si="43"/>
        <v>0</v>
      </c>
      <c r="X33" s="166">
        <v>0</v>
      </c>
      <c r="Y33" s="166">
        <v>0</v>
      </c>
      <c r="Z33" s="166">
        <v>0</v>
      </c>
      <c r="AA33" s="166">
        <v>0</v>
      </c>
      <c r="AB33" s="166">
        <f t="shared" si="43"/>
        <v>0</v>
      </c>
      <c r="AC33" s="166">
        <f t="shared" si="43"/>
        <v>0</v>
      </c>
      <c r="AD33" s="166">
        <f t="shared" si="43"/>
        <v>0</v>
      </c>
      <c r="AE33" s="166">
        <f t="shared" ref="AE33:CP33" si="44">SUM(AE34:AE35)</f>
        <v>0</v>
      </c>
      <c r="AF33" s="166">
        <f t="shared" si="44"/>
        <v>0</v>
      </c>
      <c r="AG33" s="166">
        <f t="shared" si="44"/>
        <v>0</v>
      </c>
      <c r="AH33" s="166">
        <f t="shared" si="44"/>
        <v>6</v>
      </c>
      <c r="AI33" s="166">
        <f t="shared" si="44"/>
        <v>58897.692000000003</v>
      </c>
      <c r="AJ33" s="166">
        <f>SUM(AJ34:AJ35)</f>
        <v>0</v>
      </c>
      <c r="AK33" s="166">
        <f>SUM(AK34:AK35)</f>
        <v>0</v>
      </c>
      <c r="AL33" s="166">
        <f t="shared" si="44"/>
        <v>0</v>
      </c>
      <c r="AM33" s="166">
        <f t="shared" si="44"/>
        <v>0</v>
      </c>
      <c r="AN33" s="166">
        <f t="shared" si="44"/>
        <v>0</v>
      </c>
      <c r="AO33" s="166">
        <f t="shared" si="44"/>
        <v>0</v>
      </c>
      <c r="AP33" s="166">
        <f t="shared" si="44"/>
        <v>27</v>
      </c>
      <c r="AQ33" s="166">
        <f t="shared" si="44"/>
        <v>265039.614</v>
      </c>
      <c r="AR33" s="166">
        <f t="shared" si="44"/>
        <v>153</v>
      </c>
      <c r="AS33" s="166">
        <f t="shared" si="44"/>
        <v>2057866.2349083996</v>
      </c>
      <c r="AT33" s="166">
        <f t="shared" si="44"/>
        <v>43</v>
      </c>
      <c r="AU33" s="166">
        <f t="shared" si="44"/>
        <v>506520.15120000002</v>
      </c>
      <c r="AV33" s="166">
        <f t="shared" si="44"/>
        <v>3</v>
      </c>
      <c r="AW33" s="166">
        <f t="shared" si="44"/>
        <v>828232.44</v>
      </c>
      <c r="AX33" s="166">
        <f t="shared" si="44"/>
        <v>4</v>
      </c>
      <c r="AY33" s="166">
        <f t="shared" si="44"/>
        <v>47118.153599999998</v>
      </c>
      <c r="AZ33" s="166">
        <f t="shared" si="44"/>
        <v>0</v>
      </c>
      <c r="BA33" s="166">
        <f t="shared" si="44"/>
        <v>0</v>
      </c>
      <c r="BB33" s="166">
        <f t="shared" si="44"/>
        <v>0</v>
      </c>
      <c r="BC33" s="166">
        <f t="shared" si="44"/>
        <v>0</v>
      </c>
      <c r="BD33" s="166">
        <f t="shared" si="44"/>
        <v>0</v>
      </c>
      <c r="BE33" s="166">
        <f t="shared" si="44"/>
        <v>0</v>
      </c>
      <c r="BF33" s="166">
        <f t="shared" si="44"/>
        <v>0</v>
      </c>
      <c r="BG33" s="166">
        <f t="shared" si="44"/>
        <v>0</v>
      </c>
      <c r="BH33" s="166">
        <f t="shared" si="44"/>
        <v>0</v>
      </c>
      <c r="BI33" s="166">
        <f t="shared" si="44"/>
        <v>0</v>
      </c>
      <c r="BJ33" s="166">
        <f t="shared" si="44"/>
        <v>0</v>
      </c>
      <c r="BK33" s="166">
        <f t="shared" si="44"/>
        <v>0</v>
      </c>
      <c r="BL33" s="166">
        <f t="shared" si="44"/>
        <v>7</v>
      </c>
      <c r="BM33" s="166">
        <f t="shared" si="44"/>
        <v>68713.974000000002</v>
      </c>
      <c r="BN33" s="166">
        <f t="shared" si="44"/>
        <v>25</v>
      </c>
      <c r="BO33" s="166">
        <f t="shared" si="44"/>
        <v>1115042.3793599999</v>
      </c>
      <c r="BP33" s="166">
        <f t="shared" si="44"/>
        <v>21</v>
      </c>
      <c r="BQ33" s="166">
        <f t="shared" si="44"/>
        <v>2250380.7434141599</v>
      </c>
      <c r="BR33" s="166">
        <f t="shared" si="44"/>
        <v>0</v>
      </c>
      <c r="BS33" s="166">
        <f t="shared" si="44"/>
        <v>0</v>
      </c>
      <c r="BT33" s="166">
        <f t="shared" si="44"/>
        <v>21</v>
      </c>
      <c r="BU33" s="166">
        <f t="shared" si="44"/>
        <v>247370.3064</v>
      </c>
      <c r="BV33" s="166">
        <f t="shared" si="44"/>
        <v>3</v>
      </c>
      <c r="BW33" s="166">
        <f t="shared" si="44"/>
        <v>35338.615200000007</v>
      </c>
      <c r="BX33" s="166">
        <f t="shared" si="44"/>
        <v>9</v>
      </c>
      <c r="BY33" s="166">
        <f t="shared" si="44"/>
        <v>106015.8456</v>
      </c>
      <c r="BZ33" s="166">
        <f t="shared" si="44"/>
        <v>0</v>
      </c>
      <c r="CA33" s="166">
        <f t="shared" si="44"/>
        <v>0</v>
      </c>
      <c r="CB33" s="166">
        <f t="shared" si="44"/>
        <v>14</v>
      </c>
      <c r="CC33" s="166">
        <f t="shared" si="44"/>
        <v>137427.948</v>
      </c>
      <c r="CD33" s="166">
        <f t="shared" si="44"/>
        <v>15</v>
      </c>
      <c r="CE33" s="166">
        <f t="shared" si="44"/>
        <v>147244.23000000001</v>
      </c>
      <c r="CF33" s="166">
        <f t="shared" si="44"/>
        <v>0</v>
      </c>
      <c r="CG33" s="166">
        <f t="shared" si="44"/>
        <v>0</v>
      </c>
      <c r="CH33" s="166">
        <f t="shared" si="44"/>
        <v>10</v>
      </c>
      <c r="CI33" s="166">
        <f t="shared" si="44"/>
        <v>117795.38400000001</v>
      </c>
      <c r="CJ33" s="166">
        <f t="shared" si="44"/>
        <v>0</v>
      </c>
      <c r="CK33" s="166">
        <f t="shared" si="44"/>
        <v>0</v>
      </c>
      <c r="CL33" s="166">
        <f t="shared" si="44"/>
        <v>0</v>
      </c>
      <c r="CM33" s="166">
        <f t="shared" si="44"/>
        <v>0</v>
      </c>
      <c r="CN33" s="166">
        <f t="shared" si="44"/>
        <v>0</v>
      </c>
      <c r="CO33" s="166">
        <f t="shared" si="44"/>
        <v>0</v>
      </c>
      <c r="CP33" s="166">
        <f t="shared" si="44"/>
        <v>0</v>
      </c>
      <c r="CQ33" s="166">
        <f t="shared" ref="CQ33:DQ33" si="45">SUM(CQ34:CQ35)</f>
        <v>0</v>
      </c>
      <c r="CR33" s="166">
        <f t="shared" si="45"/>
        <v>10</v>
      </c>
      <c r="CS33" s="166">
        <f t="shared" si="45"/>
        <v>98162.819999999992</v>
      </c>
      <c r="CT33" s="166">
        <f t="shared" si="45"/>
        <v>27</v>
      </c>
      <c r="CU33" s="166">
        <f t="shared" si="45"/>
        <v>265039.614</v>
      </c>
      <c r="CV33" s="166">
        <f t="shared" si="45"/>
        <v>68</v>
      </c>
      <c r="CW33" s="166">
        <v>795118.95000000054</v>
      </c>
      <c r="CX33" s="166">
        <f t="shared" si="45"/>
        <v>5</v>
      </c>
      <c r="CY33" s="166">
        <f t="shared" si="45"/>
        <v>58897.692000000003</v>
      </c>
      <c r="CZ33" s="166">
        <f t="shared" si="45"/>
        <v>52</v>
      </c>
      <c r="DA33" s="166">
        <v>3022978.6599999997</v>
      </c>
      <c r="DB33" s="166">
        <f t="shared" si="45"/>
        <v>20</v>
      </c>
      <c r="DC33" s="166">
        <f t="shared" si="45"/>
        <v>235590.76800000001</v>
      </c>
      <c r="DD33" s="166">
        <f t="shared" si="45"/>
        <v>0</v>
      </c>
      <c r="DE33" s="166">
        <f t="shared" si="45"/>
        <v>0</v>
      </c>
      <c r="DF33" s="166">
        <f t="shared" si="45"/>
        <v>0</v>
      </c>
      <c r="DG33" s="166">
        <f t="shared" si="45"/>
        <v>0</v>
      </c>
      <c r="DH33" s="166">
        <f t="shared" si="45"/>
        <v>0</v>
      </c>
      <c r="DI33" s="166">
        <f t="shared" si="45"/>
        <v>0</v>
      </c>
      <c r="DJ33" s="166">
        <f t="shared" si="45"/>
        <v>3</v>
      </c>
      <c r="DK33" s="166">
        <f t="shared" si="45"/>
        <v>35338.615200000007</v>
      </c>
      <c r="DL33" s="166">
        <f t="shared" si="45"/>
        <v>8</v>
      </c>
      <c r="DM33" s="166">
        <f t="shared" si="45"/>
        <v>125087.4792</v>
      </c>
      <c r="DN33" s="166">
        <f t="shared" si="45"/>
        <v>4</v>
      </c>
      <c r="DO33" s="166">
        <f t="shared" si="45"/>
        <v>72079.556400000001</v>
      </c>
      <c r="DP33" s="166">
        <f t="shared" si="45"/>
        <v>0</v>
      </c>
      <c r="DQ33" s="166">
        <f t="shared" si="45"/>
        <v>0</v>
      </c>
      <c r="DR33" s="166">
        <f>SUM(DR34:DR35)</f>
        <v>633</v>
      </c>
      <c r="DS33" s="166">
        <f t="shared" ref="DS33" si="46">SUM(DS34:DS35)</f>
        <v>24395252.056082554</v>
      </c>
      <c r="DT33" s="166">
        <v>622</v>
      </c>
      <c r="DU33" s="166">
        <v>22036671.373959996</v>
      </c>
      <c r="DV33" s="167">
        <f t="shared" si="5"/>
        <v>11</v>
      </c>
      <c r="DW33" s="167">
        <f t="shared" si="5"/>
        <v>2358580.6821225584</v>
      </c>
    </row>
    <row r="34" spans="1:128" ht="30" x14ac:dyDescent="0.25">
      <c r="A34" s="154"/>
      <c r="B34" s="176">
        <v>16</v>
      </c>
      <c r="C34" s="177" t="s">
        <v>169</v>
      </c>
      <c r="D34" s="178" t="s">
        <v>170</v>
      </c>
      <c r="E34" s="158">
        <v>25969</v>
      </c>
      <c r="F34" s="180">
        <v>4.5199999999999996</v>
      </c>
      <c r="G34" s="168">
        <v>1</v>
      </c>
      <c r="H34" s="169"/>
      <c r="I34" s="169"/>
      <c r="J34" s="169"/>
      <c r="K34" s="106"/>
      <c r="L34" s="180">
        <v>1.4</v>
      </c>
      <c r="M34" s="180">
        <v>1.68</v>
      </c>
      <c r="N34" s="180">
        <v>2.23</v>
      </c>
      <c r="O34" s="181">
        <v>2.57</v>
      </c>
      <c r="P34" s="182">
        <v>4</v>
      </c>
      <c r="Q34" s="182">
        <f>(P34*$E34*$F34*$G34*$L34*$Q$12)</f>
        <v>723060.06079999986</v>
      </c>
      <c r="R34" s="182"/>
      <c r="S34" s="182">
        <f>(R34*$E34*$F34*$G34*$L34*$S$12)</f>
        <v>0</v>
      </c>
      <c r="T34" s="182">
        <v>52</v>
      </c>
      <c r="U34" s="182">
        <f>(T34/12*11*$E34*$F34*$G34*$L34*$U$12)+(T34/12*1*$E34*$F34*$G34*$L34*$U$14)</f>
        <v>10788384.770799996</v>
      </c>
      <c r="V34" s="182"/>
      <c r="W34" s="183">
        <f>(V34*$E34*$F34*$G34*$L34*$W$12)/12*10+(V34*$E34*$F34*$G34*$L34*$W$13)/12*1++(V34*$E34*$F34*$G34*$L34*$W$14)/12*1</f>
        <v>0</v>
      </c>
      <c r="X34" s="183"/>
      <c r="Y34" s="183">
        <v>0</v>
      </c>
      <c r="Z34" s="183"/>
      <c r="AA34" s="183">
        <v>0</v>
      </c>
      <c r="AB34" s="182">
        <f>X34+Z34</f>
        <v>0</v>
      </c>
      <c r="AC34" s="182">
        <f>Y34+AA34</f>
        <v>0</v>
      </c>
      <c r="AD34" s="182"/>
      <c r="AE34" s="182">
        <f>(AD34*$E34*$F34*$G34*$L34*$AE$12)</f>
        <v>0</v>
      </c>
      <c r="AF34" s="182"/>
      <c r="AG34" s="182"/>
      <c r="AH34" s="182"/>
      <c r="AI34" s="182">
        <f>(AH34*$E34*$F34*$G34*$L34*$AI$12)</f>
        <v>0</v>
      </c>
      <c r="AJ34" s="182"/>
      <c r="AK34" s="182"/>
      <c r="AL34" s="182"/>
      <c r="AM34" s="182"/>
      <c r="AN34" s="184"/>
      <c r="AO34" s="182">
        <f>(AN34*$E34*$F34*$G34*$L34*$AO$12)</f>
        <v>0</v>
      </c>
      <c r="AP34" s="182"/>
      <c r="AQ34" s="183">
        <f>(AP34*$E34*$F34*$G34*$L34*$AQ$12)</f>
        <v>0</v>
      </c>
      <c r="AR34" s="182">
        <v>3</v>
      </c>
      <c r="AS34" s="182">
        <f>(AR34*$E34*$F34*$G34*$L34*$AS$12)/12*10+(AR34*$E34*$F34*$G34*$L34*$AS$13)/12*1+(AR34*$E34*$F34*$L34*$G34*$AS$14*$AS$15)/12*1</f>
        <v>585423.93490839994</v>
      </c>
      <c r="AT34" s="182"/>
      <c r="AU34" s="182">
        <f>(AT34*$E34*$F34*$G34*$M34*$AU$12)</f>
        <v>0</v>
      </c>
      <c r="AV34" s="188">
        <v>3</v>
      </c>
      <c r="AW34" s="182">
        <v>828232.44</v>
      </c>
      <c r="AX34" s="182"/>
      <c r="AY34" s="187">
        <f>(AX34*$E34*$F34*$G34*$M34*$AY$12)</f>
        <v>0</v>
      </c>
      <c r="AZ34" s="182"/>
      <c r="BA34" s="182">
        <f>(AZ34*$E34*$F34*$G34*$L34*$BA$12)</f>
        <v>0</v>
      </c>
      <c r="BB34" s="182"/>
      <c r="BC34" s="182">
        <f>(BB34*$E34*$F34*$G34*$L34*$BC$12)</f>
        <v>0</v>
      </c>
      <c r="BD34" s="182"/>
      <c r="BE34" s="182">
        <f>(BD34*$E34*$F34*$G34*$L34*$BE$12)</f>
        <v>0</v>
      </c>
      <c r="BF34" s="182"/>
      <c r="BG34" s="182">
        <f>(BF34*$E34*$F34*$G34*$L34*$BG$12)</f>
        <v>0</v>
      </c>
      <c r="BH34" s="182"/>
      <c r="BI34" s="183">
        <f>(BH34*$E34*$F34*$G34*$L34*$BI$12)</f>
        <v>0</v>
      </c>
      <c r="BJ34" s="182"/>
      <c r="BK34" s="183">
        <f>(BJ34*$E34*$F34*$G34*$L34*$BK$12)</f>
        <v>0</v>
      </c>
      <c r="BL34" s="182"/>
      <c r="BM34" s="182">
        <f>(BL34*$E34*$F34*$G34*$L34*$BM$12)</f>
        <v>0</v>
      </c>
      <c r="BN34" s="182">
        <v>4</v>
      </c>
      <c r="BO34" s="182">
        <f>(BN34*$E34*$F34*$G34*$M34*$BO$12)</f>
        <v>867672.0729599999</v>
      </c>
      <c r="BP34" s="182">
        <v>10</v>
      </c>
      <c r="BQ34" s="182">
        <f>(BP34/12*11*$E34*$F34*$G34*$M34*$BQ$12)+(BP34/12*$E34*$F34*$G34*$M34*$BQ$14*$BQ$15)</f>
        <v>2120805.8210141598</v>
      </c>
      <c r="BR34" s="182"/>
      <c r="BS34" s="183">
        <f>(BR34*$E34*$F34*$G34*$M34*$BS$12)</f>
        <v>0</v>
      </c>
      <c r="BT34" s="182"/>
      <c r="BU34" s="182">
        <f>(BT34*$E34*$F34*$G34*$M34*$BU$12)</f>
        <v>0</v>
      </c>
      <c r="BV34" s="182"/>
      <c r="BW34" s="182">
        <f>(BV34*$E34*$F34*$G34*$M34*$BW$12)</f>
        <v>0</v>
      </c>
      <c r="BX34" s="182"/>
      <c r="BY34" s="183">
        <f>(BX34*$E34*$F34*$G34*$M34*$BY$12)</f>
        <v>0</v>
      </c>
      <c r="BZ34" s="182"/>
      <c r="CA34" s="187">
        <f>(BZ34*$E34*$F34*$G34*$M34*$CA$12)</f>
        <v>0</v>
      </c>
      <c r="CB34" s="182"/>
      <c r="CC34" s="182">
        <f>(CB34*$E34*$F34*$G34*$L34*$CC$12)</f>
        <v>0</v>
      </c>
      <c r="CD34" s="182"/>
      <c r="CE34" s="182">
        <f>(CD34*$E34*$F34*$G34*$L34*$CE$12)</f>
        <v>0</v>
      </c>
      <c r="CF34" s="182"/>
      <c r="CG34" s="182">
        <f>(CF34*$E34*$F34*$G34*$L34*$CG$12)</f>
        <v>0</v>
      </c>
      <c r="CH34" s="182"/>
      <c r="CI34" s="182">
        <f>(CH34*$E34*$F34*$G34*$M34*$CI$12)</f>
        <v>0</v>
      </c>
      <c r="CJ34" s="182"/>
      <c r="CK34" s="182">
        <f>(CJ34*$E34*$F34*$G34*$L34*CK$12)</f>
        <v>0</v>
      </c>
      <c r="CL34" s="182"/>
      <c r="CM34" s="183">
        <f>(CL34*$E34*$F34*$G34*$L34*$CM$12)</f>
        <v>0</v>
      </c>
      <c r="CN34" s="182"/>
      <c r="CO34" s="183">
        <f>(CN34*$E34*$F34*$G34*$L34*$CO$12)</f>
        <v>0</v>
      </c>
      <c r="CP34" s="182"/>
      <c r="CQ34" s="182">
        <f>(CP34*$E34*$F34*$G34*$L34*$CQ$12)</f>
        <v>0</v>
      </c>
      <c r="CR34" s="182"/>
      <c r="CS34" s="182">
        <f>(CR34*$E34*$F34*$G34*$L34*$CS$12)</f>
        <v>0</v>
      </c>
      <c r="CT34" s="182"/>
      <c r="CU34" s="182">
        <f>(CT34*$E34*$F34*$G34*$L34*$CU$12)</f>
        <v>0</v>
      </c>
      <c r="CV34" s="182"/>
      <c r="CW34" s="182">
        <v>0</v>
      </c>
      <c r="CX34" s="182"/>
      <c r="CY34" s="182">
        <f>(CX34*$E34*$F34*$G34*$M34*$CY$12)</f>
        <v>0</v>
      </c>
      <c r="CZ34" s="182">
        <v>13</v>
      </c>
      <c r="DA34" s="182">
        <v>2563576.6</v>
      </c>
      <c r="DB34" s="188"/>
      <c r="DC34" s="182">
        <f>(DB34*$E34*$F34*$G34*$M34*$DC$12)</f>
        <v>0</v>
      </c>
      <c r="DD34" s="182"/>
      <c r="DE34" s="187">
        <f>(DD34*$E34*$F34*$G34*$M34*DE$12)</f>
        <v>0</v>
      </c>
      <c r="DF34" s="182"/>
      <c r="DG34" s="182">
        <f>(DF34*$E34*$F34*$G34*$M34*$DG$12)</f>
        <v>0</v>
      </c>
      <c r="DH34" s="189"/>
      <c r="DI34" s="182">
        <f>(DH34*$E34*$F34*$G34*$M34*$BY$12)</f>
        <v>0</v>
      </c>
      <c r="DJ34" s="182"/>
      <c r="DK34" s="182">
        <f>(DJ34*$E34*$F34*$G34*$M34*$DK$12)</f>
        <v>0</v>
      </c>
      <c r="DL34" s="182"/>
      <c r="DM34" s="182">
        <f>(DL34*$E34*$F34*$G34*$N34*$DM$12)</f>
        <v>0</v>
      </c>
      <c r="DN34" s="182"/>
      <c r="DO34" s="190">
        <f>(DN34*$E34*$F34*$G34*$O34*$DO$12)</f>
        <v>0</v>
      </c>
      <c r="DP34" s="187"/>
      <c r="DQ34" s="187"/>
      <c r="DR34" s="183">
        <f>SUM(P34,R34,T34,V34,AB34,AJ34,AD34,AF34,AH34,AL34,AN34,AP34,AV34,AZ34,BB34,CF34,AR34,BF34,BH34,BJ34,CT34,BL34,BN34,AT34,BR34,AX34,CV34,BT34,CX34,BV34,BX34,BZ34,CH34,CB34,CD34,CJ34,CL34,CN34,CP34,CR34,CZ34,DB34,BP34,BD34,DD34,DF34,DH34,DJ34,DL34,DN34,DP34)</f>
        <v>89</v>
      </c>
      <c r="DS34" s="183">
        <f>SUM(Q34,S34,U34,W34,AC34,AK34,AE34,AG34,AI34,AM34,AO34,AQ34,AW34,BA34,BC34,CG34,AS34,BG34,BI34,BK34,CU34,BM34,BO34,AU34,BS34,AY34,CW34,BU34,CY34,BW34,BY34,CA34,CI34,CC34,CE34,CK34,CM34,CO34,CQ34,CS34,DA34,DC34,BQ34,BE34,DE34,DG34,DI34,DK34,DM34,DO34,DQ34)</f>
        <v>18477155.700482555</v>
      </c>
      <c r="DT34" s="182">
        <v>80</v>
      </c>
      <c r="DU34" s="182">
        <v>16138207.582359996</v>
      </c>
      <c r="DV34" s="167">
        <f t="shared" si="5"/>
        <v>9</v>
      </c>
      <c r="DW34" s="167">
        <f t="shared" si="5"/>
        <v>2338948.118122559</v>
      </c>
    </row>
    <row r="35" spans="1:128" ht="30" customHeight="1" x14ac:dyDescent="0.25">
      <c r="A35" s="154"/>
      <c r="B35" s="176">
        <v>17</v>
      </c>
      <c r="C35" s="177" t="s">
        <v>171</v>
      </c>
      <c r="D35" s="178" t="s">
        <v>172</v>
      </c>
      <c r="E35" s="158">
        <v>25969</v>
      </c>
      <c r="F35" s="201">
        <v>0.27</v>
      </c>
      <c r="G35" s="168">
        <v>1</v>
      </c>
      <c r="H35" s="169"/>
      <c r="I35" s="169"/>
      <c r="J35" s="169"/>
      <c r="K35" s="106"/>
      <c r="L35" s="180">
        <v>1.4</v>
      </c>
      <c r="M35" s="180">
        <v>1.68</v>
      </c>
      <c r="N35" s="180">
        <v>2.23</v>
      </c>
      <c r="O35" s="181">
        <v>2.57</v>
      </c>
      <c r="P35" s="182">
        <v>8</v>
      </c>
      <c r="Q35" s="182">
        <f>(P35*$E35*$F35*$G35*$L35)</f>
        <v>78530.255999999994</v>
      </c>
      <c r="R35" s="182">
        <v>1</v>
      </c>
      <c r="S35" s="187">
        <f>(R35*$E35*$F35*$G35*$L35)</f>
        <v>9816.2819999999992</v>
      </c>
      <c r="T35" s="182">
        <v>10</v>
      </c>
      <c r="U35" s="182">
        <f>(T35*$E35*$F35*$G35*$L35)</f>
        <v>98162.819999999992</v>
      </c>
      <c r="V35" s="182"/>
      <c r="W35" s="182">
        <f>(V35*$E35*$F35*$G35*$L35)</f>
        <v>0</v>
      </c>
      <c r="X35" s="182"/>
      <c r="Y35" s="182">
        <v>0</v>
      </c>
      <c r="Z35" s="182"/>
      <c r="AA35" s="182">
        <v>0</v>
      </c>
      <c r="AB35" s="182">
        <f>X35+Z35</f>
        <v>0</v>
      </c>
      <c r="AC35" s="182">
        <f>Y35+AA35</f>
        <v>0</v>
      </c>
      <c r="AD35" s="182"/>
      <c r="AE35" s="182">
        <f>(AD35*$E35*$F35*$G35*$L35)</f>
        <v>0</v>
      </c>
      <c r="AF35" s="182"/>
      <c r="AG35" s="182"/>
      <c r="AH35" s="182">
        <v>6</v>
      </c>
      <c r="AI35" s="182">
        <f>(AH35*$E35*$F35*$G35*$L35)</f>
        <v>58897.692000000003</v>
      </c>
      <c r="AJ35" s="182"/>
      <c r="AK35" s="182"/>
      <c r="AL35" s="182"/>
      <c r="AM35" s="182"/>
      <c r="AN35" s="184"/>
      <c r="AO35" s="182">
        <f>(AN35*$E35*$F35*$G35*$L35)</f>
        <v>0</v>
      </c>
      <c r="AP35" s="182">
        <v>27</v>
      </c>
      <c r="AQ35" s="182">
        <f>(AP35*$E35*$F35*$G35*$L35)</f>
        <v>265039.614</v>
      </c>
      <c r="AR35" s="182">
        <v>150</v>
      </c>
      <c r="AS35" s="182">
        <f>(AR35*$E35*$F35*$G35*$L35)</f>
        <v>1472442.2999999998</v>
      </c>
      <c r="AT35" s="182">
        <v>43</v>
      </c>
      <c r="AU35" s="183">
        <f>(AT35*$E35*$F35*$G35*$M35)</f>
        <v>506520.15120000002</v>
      </c>
      <c r="AV35" s="188"/>
      <c r="AW35" s="182">
        <f>(AV35*$E35*$F35*$G35*$M35)</f>
        <v>0</v>
      </c>
      <c r="AX35" s="182">
        <v>4</v>
      </c>
      <c r="AY35" s="187">
        <f>(AX35*$E35*$F35*$G35*$M35)</f>
        <v>47118.153599999998</v>
      </c>
      <c r="AZ35" s="182"/>
      <c r="BA35" s="182">
        <f>(AZ35*$E35*$F35*$G35*$L35*AO$12)</f>
        <v>0</v>
      </c>
      <c r="BB35" s="182"/>
      <c r="BC35" s="182">
        <f>(BB35*$E35*$F35*$G35*$L35*AQ$12)</f>
        <v>0</v>
      </c>
      <c r="BD35" s="182"/>
      <c r="BE35" s="182">
        <f>(BD35*$E35*$F35*$G35*$L35*BE$12)</f>
        <v>0</v>
      </c>
      <c r="BF35" s="182"/>
      <c r="BG35" s="182">
        <f>(BF35*$E35*$F35*$G35*$L35)</f>
        <v>0</v>
      </c>
      <c r="BH35" s="182"/>
      <c r="BI35" s="182">
        <f>(BH35*$E35*$F35*$G35*$L35)</f>
        <v>0</v>
      </c>
      <c r="BJ35" s="182"/>
      <c r="BK35" s="182"/>
      <c r="BL35" s="182">
        <v>7</v>
      </c>
      <c r="BM35" s="182">
        <f>(BL35*$E35*$F35*$G35*$L35)</f>
        <v>68713.974000000002</v>
      </c>
      <c r="BN35" s="182">
        <v>21</v>
      </c>
      <c r="BO35" s="182">
        <f>(BN35*$E35*$F35*$G35*$M35)</f>
        <v>247370.3064</v>
      </c>
      <c r="BP35" s="182">
        <v>11</v>
      </c>
      <c r="BQ35" s="182">
        <f>(BP35*$E35*$F35*$G35*$M35)</f>
        <v>129574.92240000001</v>
      </c>
      <c r="BR35" s="182"/>
      <c r="BS35" s="182">
        <f>(BR35*$E35*$F35*$G35*$M35)</f>
        <v>0</v>
      </c>
      <c r="BT35" s="182">
        <v>21</v>
      </c>
      <c r="BU35" s="182">
        <f>(BT35*$E35*$F35*$G35*$M35)</f>
        <v>247370.3064</v>
      </c>
      <c r="BV35" s="182">
        <v>3</v>
      </c>
      <c r="BW35" s="182">
        <f>(BV35*$E35*$F35*$G35*$M35)</f>
        <v>35338.615200000007</v>
      </c>
      <c r="BX35" s="182">
        <v>9</v>
      </c>
      <c r="BY35" s="182">
        <f>(BX35*$E35*$F35*$G35*$M35)</f>
        <v>106015.8456</v>
      </c>
      <c r="BZ35" s="182"/>
      <c r="CA35" s="187">
        <f>(BZ35*$E35*$F35*$G35*$M35)</f>
        <v>0</v>
      </c>
      <c r="CB35" s="182">
        <v>14</v>
      </c>
      <c r="CC35" s="182">
        <f>(CB35*$E35*$F35*$G35*$L35)</f>
        <v>137427.948</v>
      </c>
      <c r="CD35" s="182">
        <v>15</v>
      </c>
      <c r="CE35" s="183">
        <f>(CD35*$E35*$F35*$G35*$L35)</f>
        <v>147244.23000000001</v>
      </c>
      <c r="CF35" s="182"/>
      <c r="CG35" s="182">
        <f>(CF35*$E35*$F35*$G35*$L35)</f>
        <v>0</v>
      </c>
      <c r="CH35" s="182">
        <v>10</v>
      </c>
      <c r="CI35" s="182">
        <f>(CH35*$E35*$F35*$G35*$M35)</f>
        <v>117795.38400000001</v>
      </c>
      <c r="CJ35" s="182"/>
      <c r="CK35" s="182">
        <f>(CJ35*$E35*$F35*$G35*$L35)</f>
        <v>0</v>
      </c>
      <c r="CL35" s="182"/>
      <c r="CM35" s="182">
        <f>(CL35*$E35*$F35*$G35*$L35)</f>
        <v>0</v>
      </c>
      <c r="CN35" s="182"/>
      <c r="CO35" s="182">
        <f>(CN35*$E35*$F35*$G35*$L35)</f>
        <v>0</v>
      </c>
      <c r="CP35" s="182"/>
      <c r="CQ35" s="182">
        <f>(CP35*$E35*$F35*$G35*$L35)</f>
        <v>0</v>
      </c>
      <c r="CR35" s="182">
        <v>10</v>
      </c>
      <c r="CS35" s="182">
        <f>(CR35*$E35*$F35*$G35*$L35)</f>
        <v>98162.819999999992</v>
      </c>
      <c r="CT35" s="182">
        <v>27</v>
      </c>
      <c r="CU35" s="182">
        <f>(CT35*$E35*$F35*$G35*$L35)</f>
        <v>265039.614</v>
      </c>
      <c r="CV35" s="182">
        <v>68</v>
      </c>
      <c r="CW35" s="182">
        <v>795118.95000000054</v>
      </c>
      <c r="CX35" s="182">
        <v>5</v>
      </c>
      <c r="CY35" s="182">
        <f>(CX35*$E35*$F35*$G35*$M35)</f>
        <v>58897.692000000003</v>
      </c>
      <c r="CZ35" s="182">
        <v>39</v>
      </c>
      <c r="DA35" s="182">
        <v>459402.05999999976</v>
      </c>
      <c r="DB35" s="188">
        <v>20</v>
      </c>
      <c r="DC35" s="182">
        <f>(DB35*$E35*$F35*$G35*$M35)</f>
        <v>235590.76800000001</v>
      </c>
      <c r="DD35" s="182"/>
      <c r="DE35" s="187">
        <f>(DD35*$E35*$F35*$G35*$M35)</f>
        <v>0</v>
      </c>
      <c r="DF35" s="182"/>
      <c r="DG35" s="182"/>
      <c r="DH35" s="189"/>
      <c r="DI35" s="182">
        <f>(DH35*$E35*$F35*$G35*$M35)</f>
        <v>0</v>
      </c>
      <c r="DJ35" s="182">
        <v>3</v>
      </c>
      <c r="DK35" s="182">
        <f>(DJ35*$E35*$F35*$G35*$M35)</f>
        <v>35338.615200000007</v>
      </c>
      <c r="DL35" s="182">
        <f>ROUND(10*0.75,0)</f>
        <v>8</v>
      </c>
      <c r="DM35" s="182">
        <f>(DL35*$E35*$F35*$G35*$N35)</f>
        <v>125087.4792</v>
      </c>
      <c r="DN35" s="182">
        <f>ROUND(5*0.75,0)</f>
        <v>4</v>
      </c>
      <c r="DO35" s="187">
        <f>(DN35*$E35*$F35*$G35*$O35)</f>
        <v>72079.556400000001</v>
      </c>
      <c r="DP35" s="187"/>
      <c r="DQ35" s="187"/>
      <c r="DR35" s="183">
        <f>SUM(P35,R35,T35,V35,AB35,AJ35,AD35,AF35,AH35,AL35,AN35,AP35,AV35,AZ35,BB35,CF35,AR35,BF35,BH35,BJ35,CT35,BL35,BN35,AT35,BR35,AX35,CV35,BT35,CX35,BV35,BX35,BZ35,CH35,CB35,CD35,CJ35,CL35,CN35,CP35,CR35,CZ35,DB35,BP35,BD35,DD35,DF35,DH35,DJ35,DL35,DN35,DP35)</f>
        <v>544</v>
      </c>
      <c r="DS35" s="183">
        <f>SUM(Q35,S35,U35,W35,AC35,AK35,AE35,AG35,AI35,AM35,AO35,AQ35,AW35,BA35,BC35,CG35,AS35,BG35,BI35,BK35,CU35,BM35,BO35,AU35,BS35,AY35,CW35,BU35,CY35,BW35,BY35,CA35,CI35,CC35,CE35,CK35,CM35,CO35,CQ35,CS35,DA35,DC35,BQ35,BE35,DE35,DG35,DI35,DK35,DM35,DO35,DQ35)</f>
        <v>5918096.3555999994</v>
      </c>
      <c r="DT35" s="182">
        <v>542</v>
      </c>
      <c r="DU35" s="182">
        <v>5898463.7916000001</v>
      </c>
      <c r="DV35" s="167">
        <f t="shared" si="5"/>
        <v>2</v>
      </c>
      <c r="DW35" s="167">
        <f t="shared" si="5"/>
        <v>19632.563999999315</v>
      </c>
    </row>
    <row r="36" spans="1:128" ht="15.75" customHeight="1" x14ac:dyDescent="0.25">
      <c r="A36" s="170">
        <v>4</v>
      </c>
      <c r="B36" s="197"/>
      <c r="C36" s="198"/>
      <c r="D36" s="157" t="s">
        <v>173</v>
      </c>
      <c r="E36" s="158">
        <v>25969</v>
      </c>
      <c r="F36" s="199">
        <v>1.04</v>
      </c>
      <c r="G36" s="171"/>
      <c r="H36" s="169"/>
      <c r="I36" s="169"/>
      <c r="J36" s="169"/>
      <c r="K36" s="173"/>
      <c r="L36" s="174">
        <v>1.4</v>
      </c>
      <c r="M36" s="174">
        <v>1.68</v>
      </c>
      <c r="N36" s="174">
        <v>2.23</v>
      </c>
      <c r="O36" s="175">
        <v>2.57</v>
      </c>
      <c r="P36" s="166">
        <f t="shared" ref="P36:CA36" si="47">SUM(P37:P42)</f>
        <v>587</v>
      </c>
      <c r="Q36" s="166">
        <f t="shared" si="47"/>
        <v>26991765.173520003</v>
      </c>
      <c r="R36" s="166">
        <f t="shared" si="47"/>
        <v>87</v>
      </c>
      <c r="S36" s="166">
        <f t="shared" si="47"/>
        <v>3173567.6140000001</v>
      </c>
      <c r="T36" s="166">
        <f t="shared" si="47"/>
        <v>81</v>
      </c>
      <c r="U36" s="166">
        <f t="shared" si="47"/>
        <v>6173187.9842149988</v>
      </c>
      <c r="V36" s="166">
        <f t="shared" si="47"/>
        <v>0</v>
      </c>
      <c r="W36" s="166">
        <f t="shared" si="47"/>
        <v>0</v>
      </c>
      <c r="X36" s="166">
        <v>0</v>
      </c>
      <c r="Y36" s="166">
        <v>0</v>
      </c>
      <c r="Z36" s="166">
        <v>0</v>
      </c>
      <c r="AA36" s="166">
        <v>0</v>
      </c>
      <c r="AB36" s="166">
        <f t="shared" si="47"/>
        <v>0</v>
      </c>
      <c r="AC36" s="166">
        <f t="shared" si="47"/>
        <v>0</v>
      </c>
      <c r="AD36" s="166">
        <f t="shared" si="47"/>
        <v>0</v>
      </c>
      <c r="AE36" s="166">
        <f t="shared" si="47"/>
        <v>0</v>
      </c>
      <c r="AF36" s="166">
        <f t="shared" si="47"/>
        <v>0</v>
      </c>
      <c r="AG36" s="166">
        <f t="shared" si="47"/>
        <v>0</v>
      </c>
      <c r="AH36" s="166">
        <f t="shared" si="47"/>
        <v>311</v>
      </c>
      <c r="AI36" s="166">
        <f t="shared" si="47"/>
        <v>13534006.117519999</v>
      </c>
      <c r="AJ36" s="166">
        <f>SUM(AJ37:AJ42)</f>
        <v>0</v>
      </c>
      <c r="AK36" s="166">
        <f>SUM(AK37:AK42)</f>
        <v>0</v>
      </c>
      <c r="AL36" s="166">
        <f t="shared" si="47"/>
        <v>0</v>
      </c>
      <c r="AM36" s="166">
        <f t="shared" si="47"/>
        <v>0</v>
      </c>
      <c r="AN36" s="166">
        <f t="shared" si="47"/>
        <v>0</v>
      </c>
      <c r="AO36" s="166">
        <f t="shared" si="47"/>
        <v>0</v>
      </c>
      <c r="AP36" s="166">
        <f t="shared" si="47"/>
        <v>216</v>
      </c>
      <c r="AQ36" s="166">
        <f t="shared" si="47"/>
        <v>8802936.3021600004</v>
      </c>
      <c r="AR36" s="166">
        <f t="shared" si="47"/>
        <v>765</v>
      </c>
      <c r="AS36" s="166">
        <f t="shared" si="47"/>
        <v>38635156.62608327</v>
      </c>
      <c r="AT36" s="166">
        <f t="shared" si="47"/>
        <v>929</v>
      </c>
      <c r="AU36" s="166">
        <f t="shared" si="47"/>
        <v>42522508.626817808</v>
      </c>
      <c r="AV36" s="166">
        <f t="shared" si="47"/>
        <v>1</v>
      </c>
      <c r="AW36" s="166">
        <f t="shared" si="47"/>
        <v>73905.7</v>
      </c>
      <c r="AX36" s="166">
        <f t="shared" si="47"/>
        <v>29</v>
      </c>
      <c r="AY36" s="166">
        <f t="shared" si="47"/>
        <v>1235891.7177599999</v>
      </c>
      <c r="AZ36" s="166">
        <f t="shared" si="47"/>
        <v>0</v>
      </c>
      <c r="BA36" s="166">
        <f t="shared" si="47"/>
        <v>0</v>
      </c>
      <c r="BB36" s="166">
        <f t="shared" si="47"/>
        <v>0</v>
      </c>
      <c r="BC36" s="166">
        <f t="shared" si="47"/>
        <v>0</v>
      </c>
      <c r="BD36" s="166">
        <f t="shared" si="47"/>
        <v>0</v>
      </c>
      <c r="BE36" s="166">
        <f t="shared" si="47"/>
        <v>0</v>
      </c>
      <c r="BF36" s="166">
        <f t="shared" si="47"/>
        <v>0</v>
      </c>
      <c r="BG36" s="166">
        <f t="shared" si="47"/>
        <v>0</v>
      </c>
      <c r="BH36" s="166">
        <f t="shared" si="47"/>
        <v>0</v>
      </c>
      <c r="BI36" s="166">
        <f t="shared" si="47"/>
        <v>0</v>
      </c>
      <c r="BJ36" s="166">
        <f t="shared" si="47"/>
        <v>0</v>
      </c>
      <c r="BK36" s="166">
        <f t="shared" si="47"/>
        <v>0</v>
      </c>
      <c r="BL36" s="166">
        <f t="shared" si="47"/>
        <v>80</v>
      </c>
      <c r="BM36" s="166">
        <f t="shared" si="47"/>
        <v>3681376.3214888289</v>
      </c>
      <c r="BN36" s="166">
        <f t="shared" si="47"/>
        <v>347</v>
      </c>
      <c r="BO36" s="166">
        <f t="shared" si="47"/>
        <v>16173402.204624001</v>
      </c>
      <c r="BP36" s="166">
        <f t="shared" si="47"/>
        <v>13</v>
      </c>
      <c r="BQ36" s="166">
        <f t="shared" si="47"/>
        <v>671218.999077774</v>
      </c>
      <c r="BR36" s="166">
        <f t="shared" si="47"/>
        <v>0</v>
      </c>
      <c r="BS36" s="166">
        <f t="shared" si="47"/>
        <v>0</v>
      </c>
      <c r="BT36" s="166">
        <f t="shared" si="47"/>
        <v>31</v>
      </c>
      <c r="BU36" s="166">
        <f t="shared" si="47"/>
        <v>1617728.7702525554</v>
      </c>
      <c r="BV36" s="166">
        <f t="shared" si="47"/>
        <v>66</v>
      </c>
      <c r="BW36" s="166">
        <f t="shared" si="47"/>
        <v>2543071.4567999998</v>
      </c>
      <c r="BX36" s="166">
        <f t="shared" si="47"/>
        <v>89</v>
      </c>
      <c r="BY36" s="166">
        <f t="shared" si="47"/>
        <v>4488205.0631483514</v>
      </c>
      <c r="BZ36" s="166">
        <f t="shared" si="47"/>
        <v>115</v>
      </c>
      <c r="CA36" s="166">
        <f t="shared" si="47"/>
        <v>6002315.1090609003</v>
      </c>
      <c r="CB36" s="166">
        <f t="shared" ref="CB36:DQ36" si="48">SUM(CB37:CB42)</f>
        <v>0</v>
      </c>
      <c r="CC36" s="166">
        <f t="shared" si="48"/>
        <v>0</v>
      </c>
      <c r="CD36" s="166">
        <f t="shared" si="48"/>
        <v>0</v>
      </c>
      <c r="CE36" s="166">
        <f t="shared" si="48"/>
        <v>0</v>
      </c>
      <c r="CF36" s="166">
        <f t="shared" si="48"/>
        <v>0</v>
      </c>
      <c r="CG36" s="166">
        <f t="shared" si="48"/>
        <v>0</v>
      </c>
      <c r="CH36" s="166">
        <f t="shared" si="48"/>
        <v>99</v>
      </c>
      <c r="CI36" s="166">
        <f t="shared" si="48"/>
        <v>4410957.9326336998</v>
      </c>
      <c r="CJ36" s="166">
        <f t="shared" si="48"/>
        <v>0</v>
      </c>
      <c r="CK36" s="166">
        <f t="shared" si="48"/>
        <v>0</v>
      </c>
      <c r="CL36" s="166">
        <f t="shared" si="48"/>
        <v>56</v>
      </c>
      <c r="CM36" s="166">
        <f t="shared" si="48"/>
        <v>1688618.6435999998</v>
      </c>
      <c r="CN36" s="166">
        <f t="shared" si="48"/>
        <v>17</v>
      </c>
      <c r="CO36" s="166">
        <f t="shared" si="48"/>
        <v>444277.652</v>
      </c>
      <c r="CP36" s="166">
        <f t="shared" si="48"/>
        <v>120</v>
      </c>
      <c r="CQ36" s="166">
        <f t="shared" si="48"/>
        <v>5062812.5634419192</v>
      </c>
      <c r="CR36" s="166">
        <f t="shared" si="48"/>
        <v>142</v>
      </c>
      <c r="CS36" s="166">
        <f t="shared" si="48"/>
        <v>5542860.6707010586</v>
      </c>
      <c r="CT36" s="166">
        <f t="shared" si="48"/>
        <v>129</v>
      </c>
      <c r="CU36" s="166">
        <f t="shared" si="48"/>
        <v>4463437.884888499</v>
      </c>
      <c r="CV36" s="166">
        <f t="shared" si="48"/>
        <v>224</v>
      </c>
      <c r="CW36" s="166">
        <v>9199004.7800000068</v>
      </c>
      <c r="CX36" s="166">
        <f t="shared" si="48"/>
        <v>90</v>
      </c>
      <c r="CY36" s="166">
        <f t="shared" si="48"/>
        <v>10733179.860835657</v>
      </c>
      <c r="CZ36" s="166">
        <f t="shared" si="48"/>
        <v>126</v>
      </c>
      <c r="DA36" s="166">
        <v>4968238.4200000018</v>
      </c>
      <c r="DB36" s="166">
        <f t="shared" si="48"/>
        <v>163</v>
      </c>
      <c r="DC36" s="166">
        <f t="shared" si="48"/>
        <v>6372424.8789599994</v>
      </c>
      <c r="DD36" s="166">
        <f t="shared" si="48"/>
        <v>0</v>
      </c>
      <c r="DE36" s="166">
        <f t="shared" si="48"/>
        <v>0</v>
      </c>
      <c r="DF36" s="166">
        <f t="shared" si="48"/>
        <v>0</v>
      </c>
      <c r="DG36" s="166">
        <f t="shared" si="48"/>
        <v>0</v>
      </c>
      <c r="DH36" s="166">
        <f t="shared" si="48"/>
        <v>19</v>
      </c>
      <c r="DI36" s="166">
        <f t="shared" si="48"/>
        <v>720296.95920000004</v>
      </c>
      <c r="DJ36" s="166">
        <f t="shared" si="48"/>
        <v>96</v>
      </c>
      <c r="DK36" s="166">
        <f t="shared" si="48"/>
        <v>4158310.5566351996</v>
      </c>
      <c r="DL36" s="166">
        <f t="shared" si="48"/>
        <v>12</v>
      </c>
      <c r="DM36" s="166">
        <f t="shared" si="48"/>
        <v>605747.70019999996</v>
      </c>
      <c r="DN36" s="166">
        <f t="shared" si="48"/>
        <v>19</v>
      </c>
      <c r="DO36" s="166">
        <f t="shared" si="48"/>
        <v>1226019.8620999998</v>
      </c>
      <c r="DP36" s="166">
        <f t="shared" si="48"/>
        <v>0</v>
      </c>
      <c r="DQ36" s="166">
        <f t="shared" si="48"/>
        <v>0</v>
      </c>
      <c r="DR36" s="166">
        <f>SUM(DR37:DR42)</f>
        <v>5059</v>
      </c>
      <c r="DS36" s="166">
        <f t="shared" ref="DS36" si="49">SUM(DS37:DS42)</f>
        <v>235916432.15172455</v>
      </c>
      <c r="DT36" s="166">
        <v>5019</v>
      </c>
      <c r="DU36" s="166">
        <v>227844083.04974532</v>
      </c>
      <c r="DV36" s="167">
        <f t="shared" si="5"/>
        <v>40</v>
      </c>
      <c r="DW36" s="167">
        <f t="shared" si="5"/>
        <v>8072349.1019792259</v>
      </c>
    </row>
    <row r="37" spans="1:128" ht="22.5" customHeight="1" x14ac:dyDescent="0.25">
      <c r="A37" s="154"/>
      <c r="B37" s="176">
        <v>18</v>
      </c>
      <c r="C37" s="177" t="s">
        <v>174</v>
      </c>
      <c r="D37" s="178" t="s">
        <v>175</v>
      </c>
      <c r="E37" s="158">
        <v>25969</v>
      </c>
      <c r="F37" s="180">
        <v>0.89</v>
      </c>
      <c r="G37" s="168">
        <v>1</v>
      </c>
      <c r="H37" s="169"/>
      <c r="I37" s="169"/>
      <c r="J37" s="169"/>
      <c r="K37" s="106"/>
      <c r="L37" s="180">
        <v>1.4</v>
      </c>
      <c r="M37" s="180">
        <v>1.68</v>
      </c>
      <c r="N37" s="180">
        <v>2.23</v>
      </c>
      <c r="O37" s="181">
        <v>2.57</v>
      </c>
      <c r="P37" s="182">
        <v>63</v>
      </c>
      <c r="Q37" s="182">
        <f>(P37*$E37*$F37*$G37*$L37)</f>
        <v>2038514.5619999999</v>
      </c>
      <c r="R37" s="182">
        <v>17</v>
      </c>
      <c r="S37" s="187">
        <f>(R37*$E37*$F37*$G37*$L37)</f>
        <v>550075.35800000001</v>
      </c>
      <c r="T37" s="182">
        <v>10</v>
      </c>
      <c r="U37" s="182">
        <f>(T37*$E37*$F37*$G37*$L37)</f>
        <v>323573.74</v>
      </c>
      <c r="V37" s="182"/>
      <c r="W37" s="182">
        <f>(V37*$E37*$F37*$G37*$L37)</f>
        <v>0</v>
      </c>
      <c r="X37" s="182"/>
      <c r="Y37" s="182">
        <v>0</v>
      </c>
      <c r="Z37" s="182"/>
      <c r="AA37" s="182">
        <v>0</v>
      </c>
      <c r="AB37" s="182">
        <f>X37+Z37</f>
        <v>0</v>
      </c>
      <c r="AC37" s="182">
        <f>Y37+AA37</f>
        <v>0</v>
      </c>
      <c r="AD37" s="182"/>
      <c r="AE37" s="182">
        <f>(AD37*$E37*$F37*$G37*$L37)</f>
        <v>0</v>
      </c>
      <c r="AF37" s="182"/>
      <c r="AG37" s="182"/>
      <c r="AH37" s="182">
        <v>40</v>
      </c>
      <c r="AI37" s="182">
        <f>(AH37*$E37*$F37*$G37*$L37)</f>
        <v>1294294.96</v>
      </c>
      <c r="AJ37" s="182"/>
      <c r="AK37" s="182"/>
      <c r="AL37" s="182"/>
      <c r="AM37" s="182"/>
      <c r="AN37" s="184"/>
      <c r="AO37" s="182">
        <f>(AN37*$E37*$F37*$G37*$L37)</f>
        <v>0</v>
      </c>
      <c r="AP37" s="182">
        <f>40+4</f>
        <v>44</v>
      </c>
      <c r="AQ37" s="182">
        <f>(AP37*$E37*$F37*$G37*$L37)</f>
        <v>1423724.456</v>
      </c>
      <c r="AR37" s="182">
        <v>88</v>
      </c>
      <c r="AS37" s="182">
        <f>(AR37*$E37*$F37*$G37*$L37)</f>
        <v>2847448.912</v>
      </c>
      <c r="AT37" s="182">
        <v>133</v>
      </c>
      <c r="AU37" s="183">
        <f>(AT37*$E37*$F37*$G37*$M37)</f>
        <v>5164236.8903999999</v>
      </c>
      <c r="AV37" s="188"/>
      <c r="AW37" s="182">
        <f>(AV37*$E37*$F37*$G37*$M37)</f>
        <v>0</v>
      </c>
      <c r="AX37" s="182">
        <v>8</v>
      </c>
      <c r="AY37" s="187">
        <f>(AX37*$E37*$F37*$G37*$M37)</f>
        <v>310630.7904</v>
      </c>
      <c r="AZ37" s="182"/>
      <c r="BA37" s="182">
        <f>(AZ37*$E37*$F37*$G37*$L37*AO$12)</f>
        <v>0</v>
      </c>
      <c r="BB37" s="182"/>
      <c r="BC37" s="182">
        <f>(BB37*$E37*$F37*$G37*$L37*AQ$12)</f>
        <v>0</v>
      </c>
      <c r="BD37" s="182"/>
      <c r="BE37" s="182">
        <f>(BD37*$E37*$F37*$G37*$L37*BE$12)</f>
        <v>0</v>
      </c>
      <c r="BF37" s="182"/>
      <c r="BG37" s="182">
        <f>(BF37*$E37*$F37*$G37*$L37)</f>
        <v>0</v>
      </c>
      <c r="BH37" s="182"/>
      <c r="BI37" s="182">
        <f>(BH37*$E37*$F37*$G37*$L37)</f>
        <v>0</v>
      </c>
      <c r="BJ37" s="182"/>
      <c r="BK37" s="182"/>
      <c r="BL37" s="182">
        <v>9</v>
      </c>
      <c r="BM37" s="182">
        <f>(BL37*$E37*$F37*$G37*$L37)</f>
        <v>291216.36599999998</v>
      </c>
      <c r="BN37" s="182">
        <v>45</v>
      </c>
      <c r="BO37" s="182">
        <f>(BN37*$E37*$F37*$G37*$M37)</f>
        <v>1747298.196</v>
      </c>
      <c r="BP37" s="182">
        <v>10</v>
      </c>
      <c r="BQ37" s="182">
        <f>(BP37*$E37*$F37*$G37*$M37)</f>
        <v>388288.48800000001</v>
      </c>
      <c r="BR37" s="182"/>
      <c r="BS37" s="182">
        <f>(BR37*$E37*$F37*$G37*$M37)</f>
        <v>0</v>
      </c>
      <c r="BT37" s="182">
        <v>6</v>
      </c>
      <c r="BU37" s="182">
        <f>(BT37*$E37*$F37*$G37*$M37)</f>
        <v>232973.09279999998</v>
      </c>
      <c r="BV37" s="182">
        <v>3</v>
      </c>
      <c r="BW37" s="182">
        <f>(BV37*$E37*$F37*$G37*$M37)</f>
        <v>116486.54639999999</v>
      </c>
      <c r="BX37" s="182">
        <v>21</v>
      </c>
      <c r="BY37" s="182">
        <f>(BX37*$E37*$F37*$G37*$M37)</f>
        <v>815405.82479999994</v>
      </c>
      <c r="BZ37" s="182">
        <v>20</v>
      </c>
      <c r="CA37" s="187">
        <f>(BZ37*$E37*$F37*$G37*$M37)</f>
        <v>776576.97600000002</v>
      </c>
      <c r="CB37" s="182"/>
      <c r="CC37" s="182">
        <f>(CB37*$E37*$F37*$G37*$L37)</f>
        <v>0</v>
      </c>
      <c r="CD37" s="182"/>
      <c r="CE37" s="183">
        <f>(CD37*$E37*$F37*$G37*$L37)</f>
        <v>0</v>
      </c>
      <c r="CF37" s="182"/>
      <c r="CG37" s="182">
        <f>(CF37*$E37*$F37*$G37*$L37)</f>
        <v>0</v>
      </c>
      <c r="CH37" s="182">
        <v>20</v>
      </c>
      <c r="CI37" s="182">
        <f>(CH37*$E37*$F37*$G37*$M37)</f>
        <v>776576.97600000002</v>
      </c>
      <c r="CJ37" s="182"/>
      <c r="CK37" s="182">
        <f>(CJ37*$E37*$F37*$G37*$L37)</f>
        <v>0</v>
      </c>
      <c r="CL37" s="182">
        <v>15</v>
      </c>
      <c r="CM37" s="182">
        <f>(CL37*$E37*$F37*$G37*$L37)</f>
        <v>485360.61</v>
      </c>
      <c r="CN37" s="182">
        <v>2</v>
      </c>
      <c r="CO37" s="182">
        <f>(CN37*$E37*$F37*$G37*$L37)</f>
        <v>64714.747999999992</v>
      </c>
      <c r="CP37" s="182">
        <v>28</v>
      </c>
      <c r="CQ37" s="182">
        <f>(CP37*$E37*$F37*$G37*$L37)</f>
        <v>906006.47199999995</v>
      </c>
      <c r="CR37" s="182">
        <v>12</v>
      </c>
      <c r="CS37" s="182">
        <f>(CR37*$E37*$F37*$G37*$L37)</f>
        <v>388288.48799999995</v>
      </c>
      <c r="CT37" s="182">
        <v>2</v>
      </c>
      <c r="CU37" s="182">
        <f>(CT37*$E37*$F37*$G37*$L37)</f>
        <v>64714.747999999992</v>
      </c>
      <c r="CV37" s="182">
        <v>69</v>
      </c>
      <c r="CW37" s="182">
        <v>2628094.8200000031</v>
      </c>
      <c r="CX37" s="182">
        <v>20</v>
      </c>
      <c r="CY37" s="182">
        <f>(CX37*$E37*$F37*$G37*$M37)</f>
        <v>776576.97600000002</v>
      </c>
      <c r="CZ37" s="182">
        <v>7</v>
      </c>
      <c r="DA37" s="182">
        <v>262094.74</v>
      </c>
      <c r="DB37" s="188">
        <v>16</v>
      </c>
      <c r="DC37" s="182">
        <f>(DB37*$E37*$F37*$G37*$M37)</f>
        <v>621261.5808</v>
      </c>
      <c r="DD37" s="182"/>
      <c r="DE37" s="187">
        <f>(DD37*$E37*$F37*$G37*$M37)</f>
        <v>0</v>
      </c>
      <c r="DF37" s="182"/>
      <c r="DG37" s="182"/>
      <c r="DH37" s="189"/>
      <c r="DI37" s="182">
        <f>(DH37*$E37*$F37*$G37*$M37)</f>
        <v>0</v>
      </c>
      <c r="DJ37" s="182">
        <v>16</v>
      </c>
      <c r="DK37" s="182">
        <f>(DJ37*$E37*$F37*$G37*$M37)</f>
        <v>621261.5808</v>
      </c>
      <c r="DL37" s="182">
        <f>ROUND(2*0.75,0)</f>
        <v>2</v>
      </c>
      <c r="DM37" s="182">
        <f>(DL37*$E37*$F37*$G37*$N37)</f>
        <v>103081.3486</v>
      </c>
      <c r="DN37" s="182">
        <f>ROUND(4*0.75,0)</f>
        <v>3</v>
      </c>
      <c r="DO37" s="187">
        <f>(DN37*$E37*$F37*$G37*$O37)</f>
        <v>178196.68109999999</v>
      </c>
      <c r="DP37" s="187"/>
      <c r="DQ37" s="187"/>
      <c r="DR37" s="183">
        <f t="shared" ref="DR37:DS42" si="50">SUM(P37,R37,T37,V37,AB37,AJ37,AD37,AF37,AH37,AL37,AN37,AP37,AV37,AZ37,BB37,CF37,AR37,BF37,BH37,BJ37,CT37,BL37,BN37,AT37,BR37,AX37,CV37,BT37,CX37,BV37,BX37,BZ37,CH37,CB37,CD37,CJ37,CL37,CN37,CP37,CR37,CZ37,DB37,BP37,BD37,DD37,DF37,DH37,DJ37,DL37,DN37,DP37)</f>
        <v>729</v>
      </c>
      <c r="DS37" s="183">
        <f t="shared" si="50"/>
        <v>26196974.928100001</v>
      </c>
      <c r="DT37" s="182">
        <v>715</v>
      </c>
      <c r="DU37" s="182">
        <v>25698671.368500002</v>
      </c>
      <c r="DV37" s="167">
        <f t="shared" si="5"/>
        <v>14</v>
      </c>
      <c r="DW37" s="167">
        <f t="shared" si="5"/>
        <v>498303.55959999934</v>
      </c>
      <c r="DX37" s="200"/>
    </row>
    <row r="38" spans="1:128" ht="22.5" customHeight="1" x14ac:dyDescent="0.25">
      <c r="A38" s="154"/>
      <c r="B38" s="176">
        <v>19</v>
      </c>
      <c r="C38" s="177" t="s">
        <v>176</v>
      </c>
      <c r="D38" s="178" t="s">
        <v>177</v>
      </c>
      <c r="E38" s="158">
        <v>25969</v>
      </c>
      <c r="F38" s="179">
        <v>2.0099999999999998</v>
      </c>
      <c r="G38" s="168">
        <v>1</v>
      </c>
      <c r="H38" s="169"/>
      <c r="I38" s="169"/>
      <c r="J38" s="169"/>
      <c r="K38" s="106"/>
      <c r="L38" s="180">
        <v>1.4</v>
      </c>
      <c r="M38" s="180">
        <v>1.68</v>
      </c>
      <c r="N38" s="180">
        <v>2.23</v>
      </c>
      <c r="O38" s="181">
        <v>2.57</v>
      </c>
      <c r="P38" s="182">
        <v>100</v>
      </c>
      <c r="Q38" s="182">
        <f>(P38*$E38*$F38*$G38*$L38*$Q$12)</f>
        <v>8038444.2599999988</v>
      </c>
      <c r="R38" s="182">
        <v>3</v>
      </c>
      <c r="S38" s="182">
        <f>(R38*$E38*$F38*$G38*$L38*$S$12)</f>
        <v>241153.32779999997</v>
      </c>
      <c r="T38" s="182">
        <v>54</v>
      </c>
      <c r="U38" s="182">
        <f t="shared" ref="U38:U42" si="51">(T38/12*11*$E38*$F38*$G38*$L38*$U$12)+(T38/12*1*$E38*$F38*$G38*$L38*$U$14)</f>
        <v>4982008.5220499989</v>
      </c>
      <c r="V38" s="182"/>
      <c r="W38" s="183">
        <f t="shared" ref="W38:W42" si="52">(V38*$E38*$F38*$G38*$L38*$W$12)/12*10+(V38*$E38*$F38*$G38*$L38*$W$13)/12*1++(V38*$E38*$F38*$G38*$L38*$W$14)/12*1</f>
        <v>0</v>
      </c>
      <c r="X38" s="183"/>
      <c r="Y38" s="183">
        <v>0</v>
      </c>
      <c r="Z38" s="183"/>
      <c r="AA38" s="183">
        <v>0</v>
      </c>
      <c r="AB38" s="182">
        <f t="shared" ref="AB38:AC42" si="53">X38+Z38</f>
        <v>0</v>
      </c>
      <c r="AC38" s="182">
        <f t="shared" si="53"/>
        <v>0</v>
      </c>
      <c r="AD38" s="182"/>
      <c r="AE38" s="182">
        <f>(AD38*$E38*$F38*$G38*$L38*$AE$12)</f>
        <v>0</v>
      </c>
      <c r="AF38" s="182"/>
      <c r="AG38" s="182"/>
      <c r="AH38" s="182">
        <v>30</v>
      </c>
      <c r="AI38" s="182">
        <f>(AH38*$E38*$F38*$G38*$L38*$AI$12)</f>
        <v>2411533.2779999995</v>
      </c>
      <c r="AJ38" s="182"/>
      <c r="AK38" s="182"/>
      <c r="AL38" s="182"/>
      <c r="AM38" s="182"/>
      <c r="AN38" s="184"/>
      <c r="AO38" s="182">
        <f>(AN38*$E38*$F38*$G38*$L38*$AO$12)</f>
        <v>0</v>
      </c>
      <c r="AP38" s="182">
        <f>10-4</f>
        <v>6</v>
      </c>
      <c r="AQ38" s="183">
        <f>(AP38*$E38*$F38*$G38*$L38*$AQ$12)</f>
        <v>482306.65559999994</v>
      </c>
      <c r="AR38" s="182">
        <v>160</v>
      </c>
      <c r="AS38" s="182">
        <f t="shared" ref="AS38:AS41" si="54">(AR38*$E38*$F38*$G38*$L38*$AS$12)/12*10+(AR38*$E38*$F38*$G38*$L38*$AS$13)/12*1+(AR38*$E38*$F38*$L38*$G38*$AS$14*$AS$15)/12*1</f>
        <v>13884390.668624001</v>
      </c>
      <c r="AT38" s="182">
        <v>8</v>
      </c>
      <c r="AU38" s="182">
        <f t="shared" ref="AU38:AU42" si="55">(AT38*$E38*$F38*$G38*$M38*$AU$12)/12*10+(AT38*$E38*$F38*$G38*$M38*$AU$13)/12+(AT38*$E38*$F38*$G38*$M38*$AU$14*$AU$15)/12</f>
        <v>808450.83456016309</v>
      </c>
      <c r="AV38" s="188"/>
      <c r="AW38" s="182">
        <f>(AV38*$E38*$F38*$G38*$M38*$AW$12)</f>
        <v>0</v>
      </c>
      <c r="AX38" s="182"/>
      <c r="AY38" s="187">
        <f>(AX38*$E38*$F38*$G38*$M38*$AY$12)</f>
        <v>0</v>
      </c>
      <c r="AZ38" s="182"/>
      <c r="BA38" s="182">
        <f>(AZ38*$E38*$F38*$G38*$L38*$BA$12)</f>
        <v>0</v>
      </c>
      <c r="BB38" s="182"/>
      <c r="BC38" s="182">
        <f>(BB38*$E38*$F38*$G38*$L38*$BC$12)</f>
        <v>0</v>
      </c>
      <c r="BD38" s="182"/>
      <c r="BE38" s="182">
        <f>(BD38*$E38*$F38*$G38*$L38*$BE$12)</f>
        <v>0</v>
      </c>
      <c r="BF38" s="182"/>
      <c r="BG38" s="182">
        <f>(BF38*$E38*$F38*$G38*$L38*$BG$12)</f>
        <v>0</v>
      </c>
      <c r="BH38" s="182"/>
      <c r="BI38" s="183">
        <f>(BH38*$E38*$F38*$G38*$L38*$BI$12)</f>
        <v>0</v>
      </c>
      <c r="BJ38" s="182"/>
      <c r="BK38" s="183">
        <f>(BJ38*$E38*$F38*$G38*$L38*$BK$12)</f>
        <v>0</v>
      </c>
      <c r="BL38" s="182">
        <v>2</v>
      </c>
      <c r="BM38" s="182">
        <f t="shared" ref="BM38:BM42" si="56">(BL38/12*11*$E38*$F38*$G38*$L38*$BM$12)+(BL38/12*$E38*$F38*$G38*$L38*$BM$12*$BM$15)</f>
        <v>204012.49994109594</v>
      </c>
      <c r="BN38" s="182">
        <f>5</f>
        <v>5</v>
      </c>
      <c r="BO38" s="182">
        <f>(BN38*$E38*$F38*$G38*$M38*$BO$12)</f>
        <v>482306.6556</v>
      </c>
      <c r="BP38" s="182">
        <v>3</v>
      </c>
      <c r="BQ38" s="182">
        <f>(BP38/12*11*$E38*$F38*$G38*$M38*$BQ$12)+(BP38/12*$E38*$F38*$G38*$M38*$BQ$14*$BQ$15)</f>
        <v>282930.51107777399</v>
      </c>
      <c r="BR38" s="182"/>
      <c r="BS38" s="183">
        <f>(BR38*$E38*$F38*$G38*$M38*$BS$12)</f>
        <v>0</v>
      </c>
      <c r="BT38" s="194">
        <v>2</v>
      </c>
      <c r="BU38" s="182">
        <f t="shared" ref="BU38:BU42" si="57">(BT38*$E38*$F38*$G38*$M38*$BU$12)/12*10+(BT38*$E38*$F38*$G38*$M38*$BU$13)/12+(BT38*$E38*$F38*$G38*$M38*$BU$13*$BU$15)/12</f>
        <v>195378.27542325118</v>
      </c>
      <c r="BV38" s="182">
        <v>2</v>
      </c>
      <c r="BW38" s="182">
        <f>(BV38*$E38*$F38*$G38*$M38*$BW$12)</f>
        <v>157845.81455999997</v>
      </c>
      <c r="BX38" s="182"/>
      <c r="BY38" s="183">
        <f>(BX38*$E38*$F38*$G38*$M38*$BY$12)</f>
        <v>0</v>
      </c>
      <c r="BZ38" s="182">
        <v>2</v>
      </c>
      <c r="CA38" s="187">
        <f t="shared" ref="CA38:CA41" si="58">(BZ38*$E38*$F38*$G38*$M38*$CA$12)/12*11+(BZ38*$E38*$F38*$G38*$M38*$CA$12*$CA$15)/12</f>
        <v>229214.04577091994</v>
      </c>
      <c r="CB38" s="182"/>
      <c r="CC38" s="182">
        <f>(CB38*$E38*$F38*$G38*$L38*$CC$12)</f>
        <v>0</v>
      </c>
      <c r="CD38" s="182"/>
      <c r="CE38" s="182">
        <f>(CD38*$E38*$F38*$G38*$L38*$CE$12)</f>
        <v>0</v>
      </c>
      <c r="CF38" s="182"/>
      <c r="CG38" s="182">
        <f>(CF38*$E38*$F38*$G38*$L38*$CG$12)</f>
        <v>0</v>
      </c>
      <c r="CH38" s="182"/>
      <c r="CI38" s="182">
        <f>(CH38*$E38*$F38*$G38*$M38*$CI$12)</f>
        <v>0</v>
      </c>
      <c r="CJ38" s="182"/>
      <c r="CK38" s="182">
        <f t="shared" ref="CK38:CK42" si="59">(CJ38*$E38*$F38*$G38*$L38*CK$12)</f>
        <v>0</v>
      </c>
      <c r="CL38" s="182">
        <v>5</v>
      </c>
      <c r="CM38" s="183">
        <f>(CL38*$E38*$F38*$G38*$L38*$CM$12)</f>
        <v>292307.06399999995</v>
      </c>
      <c r="CN38" s="182"/>
      <c r="CO38" s="183">
        <f>(CN38*$E38*$F38*$G38*$L38*$CO$12)</f>
        <v>0</v>
      </c>
      <c r="CP38" s="182">
        <v>18</v>
      </c>
      <c r="CQ38" s="182">
        <f t="shared" ref="CQ38:CQ41" si="60">(CP38*$E38*$F38*$G38*$L38*$CQ$12)/12*11+(CP38*$E38*$F38*$G38*$L38*$CQ$12*$CQ$15)/12</f>
        <v>1457863.9432761597</v>
      </c>
      <c r="CR38" s="182"/>
      <c r="CS38" s="182">
        <f t="shared" ref="CS38" si="61">(CR38*$E38*$F38*$G38*$L38*$CS$12)/12*10+(CR38*$E38*$F38*$G38*$L38*$CS$13)/12*2</f>
        <v>0</v>
      </c>
      <c r="CT38" s="182"/>
      <c r="CU38" s="182">
        <f>(CT38*$E38*$F38*$G38*$L38*$CU$12)</f>
        <v>0</v>
      </c>
      <c r="CV38" s="182">
        <v>6</v>
      </c>
      <c r="CW38" s="182">
        <v>526152.72</v>
      </c>
      <c r="CX38" s="182"/>
      <c r="CY38" s="182">
        <f>(CX38*$E38*$F38*$G38*$M38*$CY$12)</f>
        <v>0</v>
      </c>
      <c r="CZ38" s="182">
        <v>3</v>
      </c>
      <c r="DA38" s="182">
        <v>263076.36</v>
      </c>
      <c r="DB38" s="188">
        <v>12</v>
      </c>
      <c r="DC38" s="182">
        <f>(DB38*$E38*$F38*$G38*$M38*$DC$12)</f>
        <v>947074.88735999982</v>
      </c>
      <c r="DD38" s="182"/>
      <c r="DE38" s="187">
        <f t="shared" ref="DE38:DE42" si="62">(DD38*$E38*$F38*$G38*$M38*DE$12)</f>
        <v>0</v>
      </c>
      <c r="DF38" s="182"/>
      <c r="DG38" s="182">
        <f>(DF38*$E38*$F38*$G38*$M38*$DG$12)</f>
        <v>0</v>
      </c>
      <c r="DH38" s="189"/>
      <c r="DI38" s="182">
        <f>(DH38*$E38*$F38*$G38*$M38*$DI$12)</f>
        <v>0</v>
      </c>
      <c r="DJ38" s="182">
        <v>1</v>
      </c>
      <c r="DK38" s="182">
        <f t="shared" ref="DK38:DK41" si="63">(DJ38/12*11*$E38*$F38*$G38*$M38*$DK$12)+(DJ38/12*1*$E38*$F38*$M38*$G38*$DK$12*$DK$15)</f>
        <v>95557.371524579969</v>
      </c>
      <c r="DL38" s="182"/>
      <c r="DM38" s="182">
        <f>(DL38*$E38*$F38*$G38*$N38*$DM$12)</f>
        <v>0</v>
      </c>
      <c r="DN38" s="182">
        <f>ROUND(1*0.75,0)</f>
        <v>1</v>
      </c>
      <c r="DO38" s="190">
        <f>(DN38*$E38*$F38*$G38*$O38*$DO$12)</f>
        <v>134148.06329999998</v>
      </c>
      <c r="DP38" s="187"/>
      <c r="DQ38" s="187"/>
      <c r="DR38" s="183">
        <f t="shared" si="50"/>
        <v>423</v>
      </c>
      <c r="DS38" s="183">
        <f t="shared" si="50"/>
        <v>36116155.758467942</v>
      </c>
      <c r="DT38" s="182">
        <v>420</v>
      </c>
      <c r="DU38" s="182">
        <v>35028060.246279992</v>
      </c>
      <c r="DV38" s="167">
        <f t="shared" si="5"/>
        <v>3</v>
      </c>
      <c r="DW38" s="167">
        <f t="shared" si="5"/>
        <v>1088095.5121879503</v>
      </c>
      <c r="DX38" s="200"/>
    </row>
    <row r="39" spans="1:128" ht="22.5" customHeight="1" x14ac:dyDescent="0.25">
      <c r="A39" s="154"/>
      <c r="B39" s="176">
        <v>20</v>
      </c>
      <c r="C39" s="177" t="s">
        <v>178</v>
      </c>
      <c r="D39" s="178" t="s">
        <v>179</v>
      </c>
      <c r="E39" s="158">
        <v>25969</v>
      </c>
      <c r="F39" s="179">
        <v>0.86</v>
      </c>
      <c r="G39" s="168">
        <v>1</v>
      </c>
      <c r="H39" s="169"/>
      <c r="I39" s="169"/>
      <c r="J39" s="169"/>
      <c r="K39" s="106"/>
      <c r="L39" s="180">
        <v>1.4</v>
      </c>
      <c r="M39" s="180">
        <v>1.68</v>
      </c>
      <c r="N39" s="180">
        <v>2.23</v>
      </c>
      <c r="O39" s="181">
        <v>2.57</v>
      </c>
      <c r="P39" s="182">
        <v>9</v>
      </c>
      <c r="Q39" s="182">
        <f>(P39*$E39*$F39*$G39*$L39*$Q$12)</f>
        <v>309540.09240000002</v>
      </c>
      <c r="R39" s="182">
        <v>8</v>
      </c>
      <c r="S39" s="182">
        <f>(R39*$E39*$F39*$G39*$L39*$S$12)</f>
        <v>275146.7488</v>
      </c>
      <c r="T39" s="182">
        <v>7</v>
      </c>
      <c r="U39" s="182">
        <f t="shared" si="51"/>
        <v>276319.24915000005</v>
      </c>
      <c r="V39" s="182"/>
      <c r="W39" s="183">
        <f t="shared" si="52"/>
        <v>0</v>
      </c>
      <c r="X39" s="183"/>
      <c r="Y39" s="183">
        <v>0</v>
      </c>
      <c r="Z39" s="183"/>
      <c r="AA39" s="183">
        <v>0</v>
      </c>
      <c r="AB39" s="182">
        <f t="shared" si="53"/>
        <v>0</v>
      </c>
      <c r="AC39" s="182">
        <f t="shared" si="53"/>
        <v>0</v>
      </c>
      <c r="AD39" s="182"/>
      <c r="AE39" s="182">
        <f>(AD39*$E39*$F39*$G39*$L39*$AE$12)</f>
        <v>0</v>
      </c>
      <c r="AF39" s="182"/>
      <c r="AG39" s="182"/>
      <c r="AH39" s="182">
        <v>40</v>
      </c>
      <c r="AI39" s="182">
        <f>(AH39*$E39*$F39*$G39*$L39*$AI$12)</f>
        <v>1375733.7439999999</v>
      </c>
      <c r="AJ39" s="182"/>
      <c r="AK39" s="182"/>
      <c r="AL39" s="182"/>
      <c r="AM39" s="182"/>
      <c r="AN39" s="184"/>
      <c r="AO39" s="182">
        <f>(AN39*$E39*$F39*$G39*$L39*$AO$12)</f>
        <v>0</v>
      </c>
      <c r="AP39" s="182">
        <v>15</v>
      </c>
      <c r="AQ39" s="183">
        <f>(AP39*$E39*$F39*$G39*$L39*$AQ$12)</f>
        <v>515900.15399999998</v>
      </c>
      <c r="AR39" s="182">
        <v>25</v>
      </c>
      <c r="AS39" s="182">
        <f t="shared" si="54"/>
        <v>928216.41596833337</v>
      </c>
      <c r="AT39" s="182">
        <v>17</v>
      </c>
      <c r="AU39" s="182">
        <f t="shared" si="55"/>
        <v>735046.7164968648</v>
      </c>
      <c r="AV39" s="188"/>
      <c r="AW39" s="182">
        <f>(AV39*$E39*$F39*$G39*$M39*$AW$12)</f>
        <v>0</v>
      </c>
      <c r="AX39" s="182">
        <v>1</v>
      </c>
      <c r="AY39" s="187">
        <f>(AX39*$E39*$F39*$G39*$M39*$AY$12)</f>
        <v>41272.012320000002</v>
      </c>
      <c r="AZ39" s="182"/>
      <c r="BA39" s="182">
        <f>(AZ39*$E39*$F39*$G39*$L39*$BA$12)</f>
        <v>0</v>
      </c>
      <c r="BB39" s="182">
        <v>0</v>
      </c>
      <c r="BC39" s="182">
        <f>(BB39*$E39*$F39*$G39*$L39*$BC$12)</f>
        <v>0</v>
      </c>
      <c r="BD39" s="182"/>
      <c r="BE39" s="182">
        <f>(BD39*$E39*$F39*$G39*$L39*$BE$12)</f>
        <v>0</v>
      </c>
      <c r="BF39" s="182"/>
      <c r="BG39" s="182">
        <f>(BF39*$E39*$F39*$G39*$L39*$BG$12)</f>
        <v>0</v>
      </c>
      <c r="BH39" s="182"/>
      <c r="BI39" s="183">
        <f>(BH39*$E39*$F39*$G39*$L39*$BI$12)</f>
        <v>0</v>
      </c>
      <c r="BJ39" s="182"/>
      <c r="BK39" s="183">
        <f>(BJ39*$E39*$F39*$G39*$L39*$BK$12)</f>
        <v>0</v>
      </c>
      <c r="BL39" s="182">
        <v>7</v>
      </c>
      <c r="BM39" s="182">
        <f t="shared" si="56"/>
        <v>305511.25613069604</v>
      </c>
      <c r="BN39" s="182">
        <v>24</v>
      </c>
      <c r="BO39" s="182">
        <f>(BN39*$E39*$F39*$G39*$M39*$BO$12)</f>
        <v>990528.29568000021</v>
      </c>
      <c r="BP39" s="182"/>
      <c r="BQ39" s="182">
        <f>(BP39*$E39*$F39*$G39*$M39*$BQ$12)</f>
        <v>0</v>
      </c>
      <c r="BR39" s="182"/>
      <c r="BS39" s="183">
        <f>(BR39*$E39*$F39*$G39*$M39*$BS$12)</f>
        <v>0</v>
      </c>
      <c r="BT39" s="194">
        <v>6</v>
      </c>
      <c r="BU39" s="182">
        <f t="shared" si="57"/>
        <v>250784.05502088962</v>
      </c>
      <c r="BV39" s="182">
        <v>5</v>
      </c>
      <c r="BW39" s="182">
        <f>(BV39*$E39*$F39*$G39*$M39*$BW$12)</f>
        <v>168840.05039999998</v>
      </c>
      <c r="BX39" s="182">
        <v>14</v>
      </c>
      <c r="BY39" s="183">
        <f t="shared" ref="BY39:BY41" si="64">(BX39*$E39*$F39*$G39*$M39*$BY$12)/12*11+(BX39*$E39*$F39*$G39*$M39*$BY$12*$BY$15)/12</f>
        <v>708434.84187302412</v>
      </c>
      <c r="BZ39" s="182">
        <v>8</v>
      </c>
      <c r="CA39" s="187">
        <f t="shared" si="58"/>
        <v>392286.72510048002</v>
      </c>
      <c r="CB39" s="182"/>
      <c r="CC39" s="182">
        <f>(CB39*$E39*$F39*$G39*$L39*$CC$12)</f>
        <v>0</v>
      </c>
      <c r="CD39" s="182"/>
      <c r="CE39" s="182">
        <f>(CD39*$E39*$F39*$G39*$L39*$CE$12)</f>
        <v>0</v>
      </c>
      <c r="CF39" s="182"/>
      <c r="CG39" s="182">
        <f>(CF39*$E39*$F39*$G39*$L39*$CG$12)</f>
        <v>0</v>
      </c>
      <c r="CH39" s="182">
        <v>10</v>
      </c>
      <c r="CI39" s="182">
        <f t="shared" ref="CI39:CI41" si="65">(CH39*$E39*$F39*$G39*$M39*$CI$12)/12*11+(CH39*$E39*$F39*$G39*$M39*$CI$12*$CI$15)/12</f>
        <v>418136.1368167199</v>
      </c>
      <c r="CJ39" s="182"/>
      <c r="CK39" s="182">
        <f t="shared" si="59"/>
        <v>0</v>
      </c>
      <c r="CL39" s="182"/>
      <c r="CM39" s="183">
        <f>(CL39*$E39*$F39*$G39*$L39*$CM$12)</f>
        <v>0</v>
      </c>
      <c r="CN39" s="182"/>
      <c r="CO39" s="183">
        <f>(CN39*$E39*$F39*$G39*$L39*$CO$12)</f>
        <v>0</v>
      </c>
      <c r="CP39" s="182">
        <v>12</v>
      </c>
      <c r="CQ39" s="182">
        <f t="shared" si="60"/>
        <v>415841.78813184006</v>
      </c>
      <c r="CR39" s="182">
        <v>28</v>
      </c>
      <c r="CS39" s="182">
        <f t="shared" ref="CS39:CS41" si="66">(CR39*$E39*$F39*$G39*$L39*$CS$12)/12*10+(CR39*$E39*$F39*$G39*$L39*$CS$13)/12+(CR39*$E39*$F39*$G39*$L39*$CS$13*$CS$15)/12</f>
        <v>1049569.5768598132</v>
      </c>
      <c r="CT39" s="182"/>
      <c r="CU39" s="182">
        <f>(CT39*$E39*$F39*$G39*$L39*$CU$12)</f>
        <v>0</v>
      </c>
      <c r="CV39" s="182">
        <v>16</v>
      </c>
      <c r="CW39" s="182">
        <v>600320.16</v>
      </c>
      <c r="CX39" s="182">
        <v>5</v>
      </c>
      <c r="CY39" s="182">
        <f t="shared" ref="CY39:CY46" si="67">(CX39/12*11*$E39*$F39*$G39*$M39*$CY$12)+(CX39/12*$E39*$F39*$G39*$M39*$CY$15*$CY$12)</f>
        <v>202456.10443464003</v>
      </c>
      <c r="CZ39" s="182">
        <v>8</v>
      </c>
      <c r="DA39" s="182">
        <v>290780.08</v>
      </c>
      <c r="DB39" s="188">
        <v>20</v>
      </c>
      <c r="DC39" s="182">
        <f>(DB39*$E39*$F39*$G39*$M39*$DC$12)</f>
        <v>675360.20159999991</v>
      </c>
      <c r="DD39" s="182"/>
      <c r="DE39" s="187">
        <f t="shared" si="62"/>
        <v>0</v>
      </c>
      <c r="DF39" s="182"/>
      <c r="DG39" s="182">
        <f>(DF39*$E39*$F39*$G39*$M39*$DG$12)</f>
        <v>0</v>
      </c>
      <c r="DH39" s="189">
        <f>ROUND(2*0.75,0)</f>
        <v>2</v>
      </c>
      <c r="DI39" s="182">
        <f>(DH39*$E39*$F39*$G39*$M39*$DI$12)</f>
        <v>75040.022400000002</v>
      </c>
      <c r="DJ39" s="182">
        <v>8</v>
      </c>
      <c r="DK39" s="182">
        <f t="shared" si="63"/>
        <v>327081.94830304</v>
      </c>
      <c r="DL39" s="182">
        <f>ROUND(2*0.75,0)</f>
        <v>2</v>
      </c>
      <c r="DM39" s="182">
        <f>(DL39*$E39*$F39*$G39*$N39*$DM$12)</f>
        <v>99606.696400000001</v>
      </c>
      <c r="DN39" s="182">
        <f>ROUND(5*0.75,0)</f>
        <v>4</v>
      </c>
      <c r="DO39" s="190">
        <f>(DN39*$E39*$F39*$G39*$O39*$DO$12)</f>
        <v>229586.7352</v>
      </c>
      <c r="DP39" s="187"/>
      <c r="DQ39" s="187"/>
      <c r="DR39" s="183">
        <f t="shared" si="50"/>
        <v>301</v>
      </c>
      <c r="DS39" s="183">
        <f t="shared" si="50"/>
        <v>11657339.80748634</v>
      </c>
      <c r="DT39" s="182">
        <v>299</v>
      </c>
      <c r="DU39" s="182">
        <v>11091026.951420002</v>
      </c>
      <c r="DV39" s="167">
        <f t="shared" si="5"/>
        <v>2</v>
      </c>
      <c r="DW39" s="167">
        <f t="shared" si="5"/>
        <v>566312.85606633872</v>
      </c>
      <c r="DX39" s="200"/>
    </row>
    <row r="40" spans="1:128" ht="22.5" customHeight="1" x14ac:dyDescent="0.25">
      <c r="A40" s="154"/>
      <c r="B40" s="176">
        <v>21</v>
      </c>
      <c r="C40" s="177" t="s">
        <v>180</v>
      </c>
      <c r="D40" s="178" t="s">
        <v>181</v>
      </c>
      <c r="E40" s="158">
        <v>25969</v>
      </c>
      <c r="F40" s="179">
        <v>1.21</v>
      </c>
      <c r="G40" s="168">
        <v>1</v>
      </c>
      <c r="H40" s="169"/>
      <c r="I40" s="169"/>
      <c r="J40" s="169"/>
      <c r="K40" s="106"/>
      <c r="L40" s="180">
        <v>1.4</v>
      </c>
      <c r="M40" s="180">
        <v>1.68</v>
      </c>
      <c r="N40" s="180">
        <v>2.23</v>
      </c>
      <c r="O40" s="181">
        <v>2.57</v>
      </c>
      <c r="P40" s="182">
        <v>152</v>
      </c>
      <c r="Q40" s="182">
        <f>(P40*$E40*$F40*$G40*$L40*$Q$12)</f>
        <v>7355376.4591999995</v>
      </c>
      <c r="R40" s="182">
        <v>4</v>
      </c>
      <c r="S40" s="182">
        <f>(R40*$E40*$F40*$G40*$L40*$S$12)</f>
        <v>193562.53839999999</v>
      </c>
      <c r="T40" s="182">
        <v>5</v>
      </c>
      <c r="U40" s="182">
        <f t="shared" si="51"/>
        <v>277696.25537500001</v>
      </c>
      <c r="V40" s="182"/>
      <c r="W40" s="183">
        <f t="shared" si="52"/>
        <v>0</v>
      </c>
      <c r="X40" s="183"/>
      <c r="Y40" s="183">
        <v>0</v>
      </c>
      <c r="Z40" s="183"/>
      <c r="AA40" s="183">
        <v>0</v>
      </c>
      <c r="AB40" s="182">
        <f t="shared" si="53"/>
        <v>0</v>
      </c>
      <c r="AC40" s="182">
        <f t="shared" si="53"/>
        <v>0</v>
      </c>
      <c r="AD40" s="182"/>
      <c r="AE40" s="182">
        <f>(AD40*$E40*$F40*$G40*$L40*$AE$12)</f>
        <v>0</v>
      </c>
      <c r="AF40" s="182"/>
      <c r="AG40" s="182"/>
      <c r="AH40" s="182">
        <v>100</v>
      </c>
      <c r="AI40" s="182">
        <f>(AH40*$E40*$F40*$G40*$L40*$AI$12)</f>
        <v>4839063.46</v>
      </c>
      <c r="AJ40" s="182"/>
      <c r="AK40" s="182"/>
      <c r="AL40" s="182"/>
      <c r="AM40" s="182"/>
      <c r="AN40" s="184"/>
      <c r="AO40" s="182">
        <f>(AN40*$E40*$F40*$G40*$L40*$AO$12)</f>
        <v>0</v>
      </c>
      <c r="AP40" s="182">
        <v>61</v>
      </c>
      <c r="AQ40" s="183">
        <f>(AP40*$E40*$F40*$G40*$L40*$AQ$12)</f>
        <v>2951828.7105999999</v>
      </c>
      <c r="AR40" s="182">
        <v>170</v>
      </c>
      <c r="AS40" s="182">
        <f t="shared" si="54"/>
        <v>8880656.593706334</v>
      </c>
      <c r="AT40" s="182">
        <v>115</v>
      </c>
      <c r="AU40" s="182">
        <f t="shared" si="55"/>
        <v>6996015.772950666</v>
      </c>
      <c r="AV40" s="188">
        <v>1</v>
      </c>
      <c r="AW40" s="182">
        <v>73905.7</v>
      </c>
      <c r="AX40" s="182">
        <v>3</v>
      </c>
      <c r="AY40" s="187">
        <f>(AX40*$E40*$F40*$G40*$M40*$AY$12)</f>
        <v>174206.28456</v>
      </c>
      <c r="AZ40" s="182"/>
      <c r="BA40" s="182">
        <f>(AZ40*$E40*$F40*$G40*$L40*$BA$12)</f>
        <v>0</v>
      </c>
      <c r="BB40" s="182">
        <v>0</v>
      </c>
      <c r="BC40" s="182">
        <f>(BB40*$E40*$F40*$G40*$L40*$BC$12)</f>
        <v>0</v>
      </c>
      <c r="BD40" s="182"/>
      <c r="BE40" s="182">
        <f>(BD40*$E40*$F40*$G40*$L40*$BE$12)</f>
        <v>0</v>
      </c>
      <c r="BF40" s="182"/>
      <c r="BG40" s="182">
        <f>(BF40*$E40*$F40*$G40*$L40*$BG$12)</f>
        <v>0</v>
      </c>
      <c r="BH40" s="182"/>
      <c r="BI40" s="183">
        <f>(BH40*$E40*$F40*$G40*$L40*$BI$12)</f>
        <v>0</v>
      </c>
      <c r="BJ40" s="182"/>
      <c r="BK40" s="183">
        <f>(BJ40*$E40*$F40*$G40*$L40*$BK$12)</f>
        <v>0</v>
      </c>
      <c r="BL40" s="182">
        <v>1</v>
      </c>
      <c r="BM40" s="182">
        <f t="shared" si="56"/>
        <v>61406.747494707983</v>
      </c>
      <c r="BN40" s="182">
        <v>88</v>
      </c>
      <c r="BO40" s="182">
        <f>(BN40*$E40*$F40*$G40*$M40*$BO$12)</f>
        <v>5110051.0137600005</v>
      </c>
      <c r="BP40" s="182"/>
      <c r="BQ40" s="182">
        <f>(BP40*$E40*$F40*$G40*$M40*$BQ$12)</f>
        <v>0</v>
      </c>
      <c r="BR40" s="182"/>
      <c r="BS40" s="183">
        <f>(BR40*$E40*$F40*$G40*$M40*$BS$12)</f>
        <v>0</v>
      </c>
      <c r="BT40" s="194">
        <v>6</v>
      </c>
      <c r="BU40" s="182">
        <f t="shared" si="57"/>
        <v>352847.33322706551</v>
      </c>
      <c r="BV40" s="182">
        <v>14</v>
      </c>
      <c r="BW40" s="182">
        <f>(BV40*$E40*$F40*$G40*$M40*$BW$12)</f>
        <v>665151.26832000003</v>
      </c>
      <c r="BX40" s="182">
        <v>10</v>
      </c>
      <c r="BY40" s="183">
        <f t="shared" si="64"/>
        <v>711965.24806175998</v>
      </c>
      <c r="BZ40" s="182">
        <v>20</v>
      </c>
      <c r="CA40" s="187">
        <f t="shared" si="58"/>
        <v>1379845.7481732001</v>
      </c>
      <c r="CB40" s="182"/>
      <c r="CC40" s="182">
        <f>(CB40*$E40*$F40*$G40*$L40*$CC$12)</f>
        <v>0</v>
      </c>
      <c r="CD40" s="182"/>
      <c r="CE40" s="182">
        <f>(CD40*$E40*$F40*$G40*$L40*$CE$12)</f>
        <v>0</v>
      </c>
      <c r="CF40" s="182"/>
      <c r="CG40" s="182">
        <f>(CF40*$E40*$F40*$G40*$L40*$CG$12)</f>
        <v>0</v>
      </c>
      <c r="CH40" s="182">
        <v>18</v>
      </c>
      <c r="CI40" s="182">
        <f t="shared" si="65"/>
        <v>1058954.076728856</v>
      </c>
      <c r="CJ40" s="182"/>
      <c r="CK40" s="182">
        <f t="shared" si="59"/>
        <v>0</v>
      </c>
      <c r="CL40" s="182"/>
      <c r="CM40" s="183">
        <f>(CL40*$E40*$F40*$G40*$L40*$CM$12)</f>
        <v>0</v>
      </c>
      <c r="CN40" s="182"/>
      <c r="CO40" s="183">
        <f>(CN40*$E40*$F40*$G40*$L40*$CO$12)</f>
        <v>0</v>
      </c>
      <c r="CP40" s="182">
        <v>8</v>
      </c>
      <c r="CQ40" s="182">
        <f t="shared" si="60"/>
        <v>390053.15010815999</v>
      </c>
      <c r="CR40" s="182">
        <v>16</v>
      </c>
      <c r="CS40" s="182">
        <f t="shared" si="66"/>
        <v>843839.9920268266</v>
      </c>
      <c r="CT40" s="182">
        <v>14</v>
      </c>
      <c r="CU40" s="182">
        <f t="shared" ref="CU40:CU41" si="68">(CT40*$E40*$F40*$G40*$L40*$CU$12)/12*11+(CT40*$E40*$F40*$G40*$L40*$CU$12*$CU$15)/12</f>
        <v>646545.50923115993</v>
      </c>
      <c r="CV40" s="182">
        <v>35</v>
      </c>
      <c r="CW40" s="182">
        <v>1781655.0800000008</v>
      </c>
      <c r="CX40" s="182">
        <v>5</v>
      </c>
      <c r="CY40" s="182">
        <f t="shared" si="67"/>
        <v>284851.03065804002</v>
      </c>
      <c r="CZ40" s="182">
        <v>12</v>
      </c>
      <c r="DA40" s="182">
        <v>593885.03000000014</v>
      </c>
      <c r="DB40" s="188">
        <v>15</v>
      </c>
      <c r="DC40" s="182">
        <f>(DB40*$E40*$F40*$G40*$M40*$DC$12)</f>
        <v>712662.07319999998</v>
      </c>
      <c r="DD40" s="182"/>
      <c r="DE40" s="187">
        <f t="shared" si="62"/>
        <v>0</v>
      </c>
      <c r="DF40" s="182"/>
      <c r="DG40" s="182">
        <f>(DF40*$E40*$F40*$G40*$M40*$DG$12)</f>
        <v>0</v>
      </c>
      <c r="DH40" s="189"/>
      <c r="DI40" s="182">
        <f t="shared" ref="DI40" si="69">(DH40*$E40*$F40*$G40*$M40*$DI$12)/12*9</f>
        <v>0</v>
      </c>
      <c r="DJ40" s="182">
        <v>11</v>
      </c>
      <c r="DK40" s="182">
        <f t="shared" si="63"/>
        <v>632770.45521997986</v>
      </c>
      <c r="DL40" s="182"/>
      <c r="DM40" s="182">
        <f>(DL40*$E40*$F40*$G40*$N40*$DM$12)</f>
        <v>0</v>
      </c>
      <c r="DN40" s="182">
        <f>ROUND(3*0.75,0)</f>
        <v>2</v>
      </c>
      <c r="DO40" s="190">
        <f>(DN40*$E40*$F40*$G40*$O40*$DO$12)</f>
        <v>161511.59859999997</v>
      </c>
      <c r="DP40" s="187"/>
      <c r="DQ40" s="187"/>
      <c r="DR40" s="183">
        <f t="shared" si="50"/>
        <v>886</v>
      </c>
      <c r="DS40" s="183">
        <f t="shared" si="50"/>
        <v>47130307.129601762</v>
      </c>
      <c r="DT40" s="182">
        <v>885</v>
      </c>
      <c r="DU40" s="182">
        <v>45945503.880813338</v>
      </c>
      <c r="DV40" s="167">
        <f t="shared" si="5"/>
        <v>1</v>
      </c>
      <c r="DW40" s="167">
        <f t="shared" si="5"/>
        <v>1184803.2487884238</v>
      </c>
      <c r="DX40" s="200"/>
    </row>
    <row r="41" spans="1:128" ht="22.5" customHeight="1" x14ac:dyDescent="0.25">
      <c r="A41" s="154"/>
      <c r="B41" s="176">
        <v>22</v>
      </c>
      <c r="C41" s="177" t="s">
        <v>182</v>
      </c>
      <c r="D41" s="178" t="s">
        <v>183</v>
      </c>
      <c r="E41" s="158">
        <v>25969</v>
      </c>
      <c r="F41" s="179">
        <v>0.87</v>
      </c>
      <c r="G41" s="168">
        <v>1</v>
      </c>
      <c r="H41" s="169"/>
      <c r="I41" s="169"/>
      <c r="J41" s="169"/>
      <c r="K41" s="106"/>
      <c r="L41" s="180">
        <v>1.4</v>
      </c>
      <c r="M41" s="180">
        <v>1.68</v>
      </c>
      <c r="N41" s="180">
        <v>2.23</v>
      </c>
      <c r="O41" s="181">
        <v>2.57</v>
      </c>
      <c r="P41" s="182">
        <v>262</v>
      </c>
      <c r="Q41" s="182">
        <f>(P41*$E41*$F41*$G41*$L41*$Q$12)</f>
        <v>9115835.7444000002</v>
      </c>
      <c r="R41" s="182">
        <v>55</v>
      </c>
      <c r="S41" s="182">
        <f>(R41*$E41*$F41*$G41*$L41*$S$12)</f>
        <v>1913629.6410000001</v>
      </c>
      <c r="T41" s="182">
        <v>4</v>
      </c>
      <c r="U41" s="182">
        <f t="shared" si="51"/>
        <v>159732.72209999998</v>
      </c>
      <c r="V41" s="182"/>
      <c r="W41" s="183">
        <f t="shared" si="52"/>
        <v>0</v>
      </c>
      <c r="X41" s="183"/>
      <c r="Y41" s="183">
        <v>0</v>
      </c>
      <c r="Z41" s="183"/>
      <c r="AA41" s="183">
        <v>0</v>
      </c>
      <c r="AB41" s="182">
        <f t="shared" si="53"/>
        <v>0</v>
      </c>
      <c r="AC41" s="182">
        <f t="shared" si="53"/>
        <v>0</v>
      </c>
      <c r="AD41" s="182"/>
      <c r="AE41" s="182">
        <f>(AD41*$E41*$F41*$G41*$L41*$AE$12)</f>
        <v>0</v>
      </c>
      <c r="AF41" s="182"/>
      <c r="AG41" s="182"/>
      <c r="AH41" s="182">
        <v>100</v>
      </c>
      <c r="AI41" s="182">
        <f>(AH41*$E41*$F41*$G41*$L41*$AI$12)</f>
        <v>3479326.62</v>
      </c>
      <c r="AJ41" s="182"/>
      <c r="AK41" s="182"/>
      <c r="AL41" s="182"/>
      <c r="AM41" s="182"/>
      <c r="AN41" s="184"/>
      <c r="AO41" s="182">
        <f>(AN41*$E41*$F41*$G41*$L41*$AO$12)</f>
        <v>0</v>
      </c>
      <c r="AP41" s="182">
        <f>85+2</f>
        <v>87</v>
      </c>
      <c r="AQ41" s="183">
        <f>(AP41*$E41*$F41*$G41*$L41*$AQ$12)</f>
        <v>3027014.1594000002</v>
      </c>
      <c r="AR41" s="182">
        <v>322</v>
      </c>
      <c r="AS41" s="182">
        <f t="shared" si="54"/>
        <v>12094444.035784598</v>
      </c>
      <c r="AT41" s="182">
        <v>655</v>
      </c>
      <c r="AU41" s="182">
        <f t="shared" si="55"/>
        <v>28650230.601623695</v>
      </c>
      <c r="AV41" s="188"/>
      <c r="AW41" s="182">
        <f>(AV41*$E41*$F41*$G41*$M41*$AW$12)</f>
        <v>0</v>
      </c>
      <c r="AX41" s="182">
        <v>17</v>
      </c>
      <c r="AY41" s="187">
        <f>(AX41*$E41*$F41*$G41*$M41*$AY$12)</f>
        <v>709782.63048000005</v>
      </c>
      <c r="AZ41" s="182"/>
      <c r="BA41" s="182">
        <f>(AZ41*$E41*$F41*$G41*$L41*$BA$12)</f>
        <v>0</v>
      </c>
      <c r="BB41" s="182"/>
      <c r="BC41" s="182">
        <f>(BB41*$E41*$F41*$G41*$L41*$BC$12)</f>
        <v>0</v>
      </c>
      <c r="BD41" s="182"/>
      <c r="BE41" s="182">
        <f>(BD41*$E41*$F41*$G41*$L41*$BE$12)</f>
        <v>0</v>
      </c>
      <c r="BF41" s="182"/>
      <c r="BG41" s="182">
        <f>(BF41*$E41*$F41*$G41*$L41*$BG$12)</f>
        <v>0</v>
      </c>
      <c r="BH41" s="182"/>
      <c r="BI41" s="183">
        <f>(BH41*$E41*$F41*$G41*$L41*$BI$12)</f>
        <v>0</v>
      </c>
      <c r="BJ41" s="182"/>
      <c r="BK41" s="183">
        <f>(BJ41*$E41*$F41*$G41*$L41*$BK$12)</f>
        <v>0</v>
      </c>
      <c r="BL41" s="182">
        <v>60</v>
      </c>
      <c r="BM41" s="182">
        <f t="shared" si="56"/>
        <v>2649117.5365485596</v>
      </c>
      <c r="BN41" s="182">
        <v>184</v>
      </c>
      <c r="BO41" s="182">
        <f>(BN41*$E41*$F41*$G41*$M41*$BO$12)</f>
        <v>7682353.1769600008</v>
      </c>
      <c r="BP41" s="182"/>
      <c r="BQ41" s="182">
        <f>(BP41*$E41*$F41*$G41*$M41*$BQ$12)</f>
        <v>0</v>
      </c>
      <c r="BR41" s="182"/>
      <c r="BS41" s="183">
        <f>(BR41*$E41*$F41*$G41*$M41*$BS$12)</f>
        <v>0</v>
      </c>
      <c r="BT41" s="194">
        <v>10</v>
      </c>
      <c r="BU41" s="182">
        <f t="shared" si="57"/>
        <v>422833.58113987197</v>
      </c>
      <c r="BV41" s="182">
        <v>42</v>
      </c>
      <c r="BW41" s="182">
        <f>(BV41*$E41*$F41*$G41*$M41*$BW$12)</f>
        <v>1434747.77712</v>
      </c>
      <c r="BX41" s="182">
        <v>44</v>
      </c>
      <c r="BY41" s="183">
        <f t="shared" si="64"/>
        <v>2252399.1484135678</v>
      </c>
      <c r="BZ41" s="182">
        <v>65</v>
      </c>
      <c r="CA41" s="187">
        <f t="shared" si="58"/>
        <v>3224391.6140162996</v>
      </c>
      <c r="CB41" s="182"/>
      <c r="CC41" s="182">
        <f>(CB41*$E41*$F41*$G41*$L41*$CC$12)</f>
        <v>0</v>
      </c>
      <c r="CD41" s="182"/>
      <c r="CE41" s="182">
        <f>(CD41*$E41*$F41*$G41*$L41*$CE$12)</f>
        <v>0</v>
      </c>
      <c r="CF41" s="182"/>
      <c r="CG41" s="182">
        <f>(CF41*$E41*$F41*$G41*$L41*$CG$12)</f>
        <v>0</v>
      </c>
      <c r="CH41" s="182">
        <v>51</v>
      </c>
      <c r="CI41" s="182">
        <f t="shared" si="65"/>
        <v>2157290.7430881239</v>
      </c>
      <c r="CJ41" s="182"/>
      <c r="CK41" s="182">
        <f t="shared" si="59"/>
        <v>0</v>
      </c>
      <c r="CL41" s="182">
        <v>36</v>
      </c>
      <c r="CM41" s="183">
        <f>(CL41*$E41*$F41*$G41*$L41*$CM$12)</f>
        <v>910950.96959999995</v>
      </c>
      <c r="CN41" s="182">
        <v>15</v>
      </c>
      <c r="CO41" s="183">
        <f>(CN41*$E41*$F41*$G41*$L41*$CO$12)</f>
        <v>379562.90400000004</v>
      </c>
      <c r="CP41" s="182">
        <v>54</v>
      </c>
      <c r="CQ41" s="182">
        <f t="shared" si="60"/>
        <v>1893047.2099257598</v>
      </c>
      <c r="CR41" s="182">
        <v>86</v>
      </c>
      <c r="CS41" s="182">
        <f t="shared" si="66"/>
        <v>3261162.6138144196</v>
      </c>
      <c r="CT41" s="182">
        <v>113</v>
      </c>
      <c r="CU41" s="182">
        <f t="shared" si="68"/>
        <v>3752177.6276573394</v>
      </c>
      <c r="CV41" s="182">
        <v>98</v>
      </c>
      <c r="CW41" s="182">
        <v>3662782.0000000023</v>
      </c>
      <c r="CX41" s="182"/>
      <c r="CY41" s="182">
        <f>(CX41*$E41*$F41*$G41*$M41*$CY$12)</f>
        <v>0</v>
      </c>
      <c r="CZ41" s="182">
        <v>96</v>
      </c>
      <c r="DA41" s="182">
        <v>3558402.2100000023</v>
      </c>
      <c r="DB41" s="188">
        <v>100</v>
      </c>
      <c r="DC41" s="182">
        <f>(DB41*$E41*$F41*$G41*$M41*$DC$12)</f>
        <v>3416066.1359999999</v>
      </c>
      <c r="DD41" s="182"/>
      <c r="DE41" s="187">
        <f t="shared" si="62"/>
        <v>0</v>
      </c>
      <c r="DF41" s="182"/>
      <c r="DG41" s="182">
        <f>(DF41*$E41*$F41*$G41*$M41*$DG$12)</f>
        <v>0</v>
      </c>
      <c r="DH41" s="189">
        <f>ROUND(23*0.75,0)</f>
        <v>17</v>
      </c>
      <c r="DI41" s="182">
        <f>(DH41*$E41*$F41*$G41*$M41*$DI$12)</f>
        <v>645256.93680000002</v>
      </c>
      <c r="DJ41" s="182">
        <v>60</v>
      </c>
      <c r="DK41" s="182">
        <f t="shared" si="63"/>
        <v>2481639.2007875997</v>
      </c>
      <c r="DL41" s="182">
        <f>ROUND(10*0.75,0)</f>
        <v>8</v>
      </c>
      <c r="DM41" s="182">
        <f>(DL41*$E41*$F41*$G41*$N41*$DM$12)</f>
        <v>403059.65519999998</v>
      </c>
      <c r="DN41" s="182">
        <f>ROUND(12*0.75,0)</f>
        <v>9</v>
      </c>
      <c r="DO41" s="190">
        <f>(DN41*$E41*$F41*$G41*$O41*$DO$12)</f>
        <v>522576.78389999992</v>
      </c>
      <c r="DP41" s="187"/>
      <c r="DQ41" s="187"/>
      <c r="DR41" s="183">
        <f t="shared" si="50"/>
        <v>2650</v>
      </c>
      <c r="DS41" s="183">
        <f t="shared" si="50"/>
        <v>103859813.97975984</v>
      </c>
      <c r="DT41" s="182">
        <v>2630</v>
      </c>
      <c r="DU41" s="182">
        <v>99861026.879180014</v>
      </c>
      <c r="DV41" s="167">
        <f t="shared" si="5"/>
        <v>20</v>
      </c>
      <c r="DW41" s="167">
        <f t="shared" si="5"/>
        <v>3998787.100579828</v>
      </c>
      <c r="DX41" s="200"/>
    </row>
    <row r="42" spans="1:128" ht="33" customHeight="1" x14ac:dyDescent="0.25">
      <c r="A42" s="154"/>
      <c r="B42" s="176">
        <v>23</v>
      </c>
      <c r="C42" s="177" t="s">
        <v>184</v>
      </c>
      <c r="D42" s="178" t="s">
        <v>185</v>
      </c>
      <c r="E42" s="158">
        <v>25969</v>
      </c>
      <c r="F42" s="201">
        <v>4.1900000000000004</v>
      </c>
      <c r="G42" s="202">
        <v>0.8</v>
      </c>
      <c r="H42" s="203"/>
      <c r="I42" s="203"/>
      <c r="J42" s="203"/>
      <c r="K42" s="106"/>
      <c r="L42" s="180">
        <v>1.4</v>
      </c>
      <c r="M42" s="180">
        <v>1.68</v>
      </c>
      <c r="N42" s="180">
        <v>2.23</v>
      </c>
      <c r="O42" s="181">
        <v>2.57</v>
      </c>
      <c r="P42" s="182">
        <v>1</v>
      </c>
      <c r="Q42" s="182">
        <f>(P42*$E42*$F42*$G42*$L42*$Q$12)</f>
        <v>134054.05552000002</v>
      </c>
      <c r="R42" s="182"/>
      <c r="S42" s="182">
        <f>(R42*$E42*$F42*$G42*$L42*$S$12)</f>
        <v>0</v>
      </c>
      <c r="T42" s="182">
        <v>1</v>
      </c>
      <c r="U42" s="182">
        <f t="shared" si="51"/>
        <v>153857.49554</v>
      </c>
      <c r="V42" s="182"/>
      <c r="W42" s="183">
        <f t="shared" si="52"/>
        <v>0</v>
      </c>
      <c r="X42" s="183"/>
      <c r="Y42" s="183">
        <v>0</v>
      </c>
      <c r="Z42" s="183"/>
      <c r="AA42" s="183">
        <v>0</v>
      </c>
      <c r="AB42" s="182">
        <f t="shared" si="53"/>
        <v>0</v>
      </c>
      <c r="AC42" s="182">
        <f t="shared" si="53"/>
        <v>0</v>
      </c>
      <c r="AD42" s="182"/>
      <c r="AE42" s="182">
        <f>(AD42*$E42*$F42*$G42*$L42*$AE$12)</f>
        <v>0</v>
      </c>
      <c r="AF42" s="182"/>
      <c r="AG42" s="182"/>
      <c r="AH42" s="182">
        <v>1</v>
      </c>
      <c r="AI42" s="182">
        <f>(AH42*$E42*$F42*$G42*$L42*$AI$12)</f>
        <v>134054.05552000002</v>
      </c>
      <c r="AJ42" s="182"/>
      <c r="AK42" s="182"/>
      <c r="AL42" s="182"/>
      <c r="AM42" s="182"/>
      <c r="AN42" s="184"/>
      <c r="AO42" s="182">
        <f>(AN42*$E42*$F42*$G42*$L42*$AO$12)</f>
        <v>0</v>
      </c>
      <c r="AP42" s="182">
        <f>5-2</f>
        <v>3</v>
      </c>
      <c r="AQ42" s="183">
        <f>(AP42*$E42*$F42*$G42*$L42*$AQ$12)</f>
        <v>402162.16656000004</v>
      </c>
      <c r="AR42" s="182"/>
      <c r="AS42" s="182">
        <f t="shared" ref="AS42" si="70">(AR42*$E42*$F42*$G42*$L42*$AS$12)/12*10+(AR42*$E42*$F42*$G42*$L42*$AS$13)/12*1+(AR42*$E42*$F42*$G42*$L42*$AS$14)/12*1</f>
        <v>0</v>
      </c>
      <c r="AT42" s="182">
        <v>1</v>
      </c>
      <c r="AU42" s="182">
        <f t="shared" si="55"/>
        <v>168527.81078642214</v>
      </c>
      <c r="AV42" s="188"/>
      <c r="AW42" s="182">
        <f>(AV42*$E42*$F42*$G42*$M42*$AW$12)</f>
        <v>0</v>
      </c>
      <c r="AX42" s="182"/>
      <c r="AY42" s="187">
        <f>(AX42*$E42*$F42*$G42*$M42*$AY$12)</f>
        <v>0</v>
      </c>
      <c r="AZ42" s="182"/>
      <c r="BA42" s="182">
        <f>(AZ42*$E42*$F42*$G42*$L42*$BA$12)</f>
        <v>0</v>
      </c>
      <c r="BB42" s="182">
        <v>0</v>
      </c>
      <c r="BC42" s="182">
        <f>(BB42*$E42*$F42*$G42*$L42*$BC$12)</f>
        <v>0</v>
      </c>
      <c r="BD42" s="182"/>
      <c r="BE42" s="182">
        <f>(BD42*$E42*$F42*$G42*$L42*$BE$12)</f>
        <v>0</v>
      </c>
      <c r="BF42" s="182"/>
      <c r="BG42" s="182">
        <f>(BF42*$E42*$F42*$G42*$L42*$BG$12)</f>
        <v>0</v>
      </c>
      <c r="BH42" s="182"/>
      <c r="BI42" s="183">
        <f>(BH42*$E42*$F42*$G42*$L42*$BI$12)</f>
        <v>0</v>
      </c>
      <c r="BJ42" s="182"/>
      <c r="BK42" s="183">
        <f>(BJ42*$E42*$F42*$G42*$L42*$BK$12)</f>
        <v>0</v>
      </c>
      <c r="BL42" s="182">
        <v>1</v>
      </c>
      <c r="BM42" s="182">
        <f t="shared" si="56"/>
        <v>170111.91537376959</v>
      </c>
      <c r="BN42" s="182">
        <v>1</v>
      </c>
      <c r="BO42" s="182">
        <f>(BN42*$E42*$F42*$G42*$M42*$BO$12)</f>
        <v>160864.86662400005</v>
      </c>
      <c r="BP42" s="182"/>
      <c r="BQ42" s="182">
        <f>(BP42*$E42*$F42*$G42*$M42*$BQ$12)</f>
        <v>0</v>
      </c>
      <c r="BR42" s="182"/>
      <c r="BS42" s="183">
        <f>(BR42*$E42*$F42*$G42*$M42*$BS$12)</f>
        <v>0</v>
      </c>
      <c r="BT42" s="194">
        <v>1</v>
      </c>
      <c r="BU42" s="182">
        <f t="shared" si="57"/>
        <v>162912.43264147715</v>
      </c>
      <c r="BV42" s="182"/>
      <c r="BW42" s="182">
        <f>(BV42*$E42*$F42*$G42*$M42*$BW$12)</f>
        <v>0</v>
      </c>
      <c r="BX42" s="182"/>
      <c r="BY42" s="183">
        <f>(BX42*$E42*$F42*$G42*$M42*$BY$12)</f>
        <v>0</v>
      </c>
      <c r="BZ42" s="182"/>
      <c r="CA42" s="187">
        <f>(BZ42*$E42*$F42*$G42*$M42*$CA$12)</f>
        <v>0</v>
      </c>
      <c r="CB42" s="182"/>
      <c r="CC42" s="182">
        <f>(CB42*$E42*$F42*$G42*$L42*$CC$12)</f>
        <v>0</v>
      </c>
      <c r="CD42" s="182"/>
      <c r="CE42" s="182">
        <f>(CD42*$E42*$F42*$G42*$L42*$CE$12)</f>
        <v>0</v>
      </c>
      <c r="CF42" s="182"/>
      <c r="CG42" s="182">
        <f>(CF42*$E42*$F42*$G42*$L42*$CG$12)</f>
        <v>0</v>
      </c>
      <c r="CH42" s="204"/>
      <c r="CI42" s="182">
        <f>(CH42*$E42*$F42*$G42*$M42*$CI$12)</f>
        <v>0</v>
      </c>
      <c r="CJ42" s="182"/>
      <c r="CK42" s="182">
        <f t="shared" si="59"/>
        <v>0</v>
      </c>
      <c r="CL42" s="182"/>
      <c r="CM42" s="183">
        <f>(CL42*$E42*$F42*$G42*$L42*$CM$12)</f>
        <v>0</v>
      </c>
      <c r="CN42" s="182"/>
      <c r="CO42" s="183">
        <f>(CN42*$E42*$F42*$G42*$L42*$CO$12)</f>
        <v>0</v>
      </c>
      <c r="CP42" s="182"/>
      <c r="CQ42" s="182">
        <f>(CP42*$E42*$F42*$G42*$L42*$CQ$12)</f>
        <v>0</v>
      </c>
      <c r="CR42" s="182"/>
      <c r="CS42" s="182">
        <f>(CR42*$E42*$F42*$G42*$L42*$CS$12)</f>
        <v>0</v>
      </c>
      <c r="CT42" s="182"/>
      <c r="CU42" s="182">
        <f>(CT42*$E42*$F42*$G42*$L42*$CU$12)</f>
        <v>0</v>
      </c>
      <c r="CV42" s="182"/>
      <c r="CW42" s="182">
        <v>0</v>
      </c>
      <c r="CX42" s="182">
        <v>60</v>
      </c>
      <c r="CY42" s="182">
        <f t="shared" si="67"/>
        <v>9469295.7497429773</v>
      </c>
      <c r="CZ42" s="182"/>
      <c r="DA42" s="182">
        <v>0</v>
      </c>
      <c r="DB42" s="188"/>
      <c r="DC42" s="182">
        <f>(DB42*$E42*$F42*$G42*$M42*$DC$12)</f>
        <v>0</v>
      </c>
      <c r="DD42" s="182"/>
      <c r="DE42" s="187">
        <f t="shared" si="62"/>
        <v>0</v>
      </c>
      <c r="DF42" s="182"/>
      <c r="DG42" s="182">
        <f>(DF42*$E42*$F42*$G42*$M42*$DG$12)</f>
        <v>0</v>
      </c>
      <c r="DH42" s="189"/>
      <c r="DI42" s="182">
        <f>(DH42*$E42*$F42*$G42*$M42*$DI$12)</f>
        <v>0</v>
      </c>
      <c r="DJ42" s="182"/>
      <c r="DK42" s="182">
        <f>(DJ42*$E42*$F42*$G42*$M42*$DK$12)</f>
        <v>0</v>
      </c>
      <c r="DL42" s="182"/>
      <c r="DM42" s="182">
        <f>(DL42*$E42*$F42*$G42*$N42*$DM$12)</f>
        <v>0</v>
      </c>
      <c r="DN42" s="182"/>
      <c r="DO42" s="190">
        <f>(DN42*$E42*$F42*$G42*$O42*$DO$12)</f>
        <v>0</v>
      </c>
      <c r="DP42" s="187"/>
      <c r="DQ42" s="187"/>
      <c r="DR42" s="183">
        <f t="shared" si="50"/>
        <v>70</v>
      </c>
      <c r="DS42" s="183">
        <f t="shared" si="50"/>
        <v>10955840.548308646</v>
      </c>
      <c r="DT42" s="182">
        <v>70</v>
      </c>
      <c r="DU42" s="182">
        <v>10219793.723552004</v>
      </c>
      <c r="DV42" s="167">
        <f t="shared" si="5"/>
        <v>0</v>
      </c>
      <c r="DW42" s="167">
        <f t="shared" si="5"/>
        <v>736046.8247566428</v>
      </c>
      <c r="DX42" s="200"/>
    </row>
    <row r="43" spans="1:128" ht="15.75" customHeight="1" x14ac:dyDescent="0.25">
      <c r="A43" s="170">
        <v>5</v>
      </c>
      <c r="B43" s="197"/>
      <c r="C43" s="198"/>
      <c r="D43" s="157" t="s">
        <v>186</v>
      </c>
      <c r="E43" s="158">
        <v>25969</v>
      </c>
      <c r="F43" s="199">
        <v>1.66</v>
      </c>
      <c r="G43" s="171"/>
      <c r="H43" s="169"/>
      <c r="I43" s="169"/>
      <c r="J43" s="169"/>
      <c r="K43" s="173"/>
      <c r="L43" s="174">
        <v>1.4</v>
      </c>
      <c r="M43" s="174">
        <v>1.68</v>
      </c>
      <c r="N43" s="174">
        <v>2.23</v>
      </c>
      <c r="O43" s="175">
        <v>2.57</v>
      </c>
      <c r="P43" s="166">
        <f t="shared" ref="P43:AD43" si="71">SUM(P44:P49)</f>
        <v>162</v>
      </c>
      <c r="Q43" s="166">
        <f t="shared" si="71"/>
        <v>16047294.247599998</v>
      </c>
      <c r="R43" s="166">
        <f t="shared" si="71"/>
        <v>0</v>
      </c>
      <c r="S43" s="166">
        <f t="shared" si="71"/>
        <v>0</v>
      </c>
      <c r="T43" s="166">
        <f t="shared" si="71"/>
        <v>106</v>
      </c>
      <c r="U43" s="166">
        <f t="shared" si="71"/>
        <v>17663685.05181</v>
      </c>
      <c r="V43" s="166">
        <f t="shared" si="71"/>
        <v>0</v>
      </c>
      <c r="W43" s="166">
        <f t="shared" si="71"/>
        <v>0</v>
      </c>
      <c r="X43" s="166">
        <v>0</v>
      </c>
      <c r="Y43" s="166">
        <v>0</v>
      </c>
      <c r="Z43" s="166">
        <v>0</v>
      </c>
      <c r="AA43" s="166">
        <v>0</v>
      </c>
      <c r="AB43" s="166">
        <f t="shared" si="71"/>
        <v>0</v>
      </c>
      <c r="AC43" s="166">
        <f t="shared" si="71"/>
        <v>0</v>
      </c>
      <c r="AD43" s="166">
        <f t="shared" si="71"/>
        <v>0</v>
      </c>
      <c r="AE43" s="166">
        <f t="shared" ref="AE43:CP43" si="72">SUM(AE44:AE49)</f>
        <v>0</v>
      </c>
      <c r="AF43" s="166">
        <f t="shared" si="72"/>
        <v>0</v>
      </c>
      <c r="AG43" s="166">
        <f t="shared" si="72"/>
        <v>0</v>
      </c>
      <c r="AH43" s="166">
        <f t="shared" si="72"/>
        <v>200</v>
      </c>
      <c r="AI43" s="166">
        <f t="shared" si="72"/>
        <v>14149261.588</v>
      </c>
      <c r="AJ43" s="166">
        <f>SUM(AJ44:AJ49)</f>
        <v>0</v>
      </c>
      <c r="AK43" s="166">
        <f>SUM(AK44:AK49)</f>
        <v>0</v>
      </c>
      <c r="AL43" s="166">
        <f t="shared" si="72"/>
        <v>0</v>
      </c>
      <c r="AM43" s="166">
        <f t="shared" si="72"/>
        <v>0</v>
      </c>
      <c r="AN43" s="166">
        <f t="shared" si="72"/>
        <v>0</v>
      </c>
      <c r="AO43" s="166">
        <f t="shared" si="72"/>
        <v>0</v>
      </c>
      <c r="AP43" s="166">
        <f t="shared" si="72"/>
        <v>90</v>
      </c>
      <c r="AQ43" s="166">
        <f t="shared" si="72"/>
        <v>4505048.1044799993</v>
      </c>
      <c r="AR43" s="166">
        <f t="shared" si="72"/>
        <v>186</v>
      </c>
      <c r="AS43" s="166">
        <f t="shared" si="72"/>
        <v>7548342.2403675988</v>
      </c>
      <c r="AT43" s="166">
        <f t="shared" si="72"/>
        <v>151</v>
      </c>
      <c r="AU43" s="166">
        <f t="shared" si="72"/>
        <v>9992613.200901838</v>
      </c>
      <c r="AV43" s="166">
        <f t="shared" si="72"/>
        <v>0</v>
      </c>
      <c r="AW43" s="166">
        <f t="shared" si="72"/>
        <v>0</v>
      </c>
      <c r="AX43" s="166">
        <f t="shared" si="72"/>
        <v>7</v>
      </c>
      <c r="AY43" s="166">
        <f t="shared" si="72"/>
        <v>315778.88496</v>
      </c>
      <c r="AZ43" s="166">
        <f t="shared" si="72"/>
        <v>0</v>
      </c>
      <c r="BA43" s="166">
        <f t="shared" si="72"/>
        <v>0</v>
      </c>
      <c r="BB43" s="166">
        <f t="shared" si="72"/>
        <v>0</v>
      </c>
      <c r="BC43" s="166">
        <f t="shared" si="72"/>
        <v>0</v>
      </c>
      <c r="BD43" s="166">
        <f t="shared" si="72"/>
        <v>0</v>
      </c>
      <c r="BE43" s="166">
        <f t="shared" si="72"/>
        <v>0</v>
      </c>
      <c r="BF43" s="166">
        <f t="shared" si="72"/>
        <v>0</v>
      </c>
      <c r="BG43" s="166">
        <f t="shared" si="72"/>
        <v>0</v>
      </c>
      <c r="BH43" s="166">
        <f t="shared" si="72"/>
        <v>0</v>
      </c>
      <c r="BI43" s="166">
        <f t="shared" si="72"/>
        <v>0</v>
      </c>
      <c r="BJ43" s="166">
        <f t="shared" si="72"/>
        <v>0</v>
      </c>
      <c r="BK43" s="166">
        <f t="shared" si="72"/>
        <v>0</v>
      </c>
      <c r="BL43" s="166">
        <f t="shared" si="72"/>
        <v>12</v>
      </c>
      <c r="BM43" s="166">
        <f t="shared" si="72"/>
        <v>921405.70868918858</v>
      </c>
      <c r="BN43" s="166">
        <f t="shared" si="72"/>
        <v>5</v>
      </c>
      <c r="BO43" s="166">
        <f t="shared" si="72"/>
        <v>396403.28111999994</v>
      </c>
      <c r="BP43" s="166">
        <f t="shared" si="72"/>
        <v>51</v>
      </c>
      <c r="BQ43" s="166">
        <f t="shared" si="72"/>
        <v>4910510.0443375641</v>
      </c>
      <c r="BR43" s="166">
        <f t="shared" si="72"/>
        <v>0</v>
      </c>
      <c r="BS43" s="166">
        <f t="shared" si="72"/>
        <v>0</v>
      </c>
      <c r="BT43" s="166">
        <f t="shared" si="72"/>
        <v>13</v>
      </c>
      <c r="BU43" s="166">
        <f t="shared" si="72"/>
        <v>755073.85248150025</v>
      </c>
      <c r="BV43" s="166">
        <f t="shared" si="72"/>
        <v>7</v>
      </c>
      <c r="BW43" s="166">
        <f t="shared" si="72"/>
        <v>518770.87113600003</v>
      </c>
      <c r="BX43" s="166">
        <f t="shared" si="72"/>
        <v>49</v>
      </c>
      <c r="BY43" s="166">
        <f t="shared" si="72"/>
        <v>3129116.6852830076</v>
      </c>
      <c r="BZ43" s="166">
        <f t="shared" si="72"/>
        <v>40</v>
      </c>
      <c r="CA43" s="166">
        <f t="shared" si="72"/>
        <v>2922650.1388372676</v>
      </c>
      <c r="CB43" s="166">
        <f t="shared" si="72"/>
        <v>0</v>
      </c>
      <c r="CC43" s="166">
        <f t="shared" si="72"/>
        <v>0</v>
      </c>
      <c r="CD43" s="166">
        <f t="shared" si="72"/>
        <v>16</v>
      </c>
      <c r="CE43" s="166">
        <f t="shared" si="72"/>
        <v>667361.74959999998</v>
      </c>
      <c r="CF43" s="166">
        <f t="shared" si="72"/>
        <v>0</v>
      </c>
      <c r="CG43" s="166">
        <f t="shared" si="72"/>
        <v>0</v>
      </c>
      <c r="CH43" s="166">
        <f t="shared" si="72"/>
        <v>30</v>
      </c>
      <c r="CI43" s="166">
        <f t="shared" si="72"/>
        <v>2177225.140308456</v>
      </c>
      <c r="CJ43" s="166">
        <f t="shared" si="72"/>
        <v>0</v>
      </c>
      <c r="CK43" s="166">
        <f t="shared" si="72"/>
        <v>0</v>
      </c>
      <c r="CL43" s="166">
        <f t="shared" si="72"/>
        <v>0</v>
      </c>
      <c r="CM43" s="166">
        <f t="shared" si="72"/>
        <v>0</v>
      </c>
      <c r="CN43" s="166">
        <f t="shared" si="72"/>
        <v>3</v>
      </c>
      <c r="CO43" s="166">
        <f t="shared" si="72"/>
        <v>82020.489600000001</v>
      </c>
      <c r="CP43" s="166">
        <f t="shared" si="72"/>
        <v>23</v>
      </c>
      <c r="CQ43" s="166">
        <f t="shared" ref="CQ43:DQ43" si="73">SUM(CQ44:CQ49)</f>
        <v>871172.42823743983</v>
      </c>
      <c r="CR43" s="166">
        <f t="shared" si="73"/>
        <v>41</v>
      </c>
      <c r="CS43" s="166">
        <f t="shared" si="73"/>
        <v>1679834.3642930731</v>
      </c>
      <c r="CT43" s="166">
        <f t="shared" si="73"/>
        <v>23</v>
      </c>
      <c r="CU43" s="166">
        <f t="shared" si="73"/>
        <v>825166.11036467983</v>
      </c>
      <c r="CV43" s="166">
        <f t="shared" si="73"/>
        <v>43</v>
      </c>
      <c r="CW43" s="166">
        <v>2206525.5</v>
      </c>
      <c r="CX43" s="166">
        <f t="shared" si="73"/>
        <v>12</v>
      </c>
      <c r="CY43" s="166">
        <f t="shared" si="73"/>
        <v>854835.58886402869</v>
      </c>
      <c r="CZ43" s="166">
        <f t="shared" si="73"/>
        <v>20</v>
      </c>
      <c r="DA43" s="166">
        <v>809952.23999999987</v>
      </c>
      <c r="DB43" s="166">
        <f t="shared" si="73"/>
        <v>31</v>
      </c>
      <c r="DC43" s="166">
        <f t="shared" si="73"/>
        <v>1274388.994368</v>
      </c>
      <c r="DD43" s="166">
        <f t="shared" si="73"/>
        <v>0</v>
      </c>
      <c r="DE43" s="166">
        <f t="shared" si="73"/>
        <v>0</v>
      </c>
      <c r="DF43" s="166">
        <f t="shared" si="73"/>
        <v>0</v>
      </c>
      <c r="DG43" s="166">
        <f t="shared" si="73"/>
        <v>0</v>
      </c>
      <c r="DH43" s="166">
        <f t="shared" si="73"/>
        <v>0</v>
      </c>
      <c r="DI43" s="166">
        <f t="shared" si="73"/>
        <v>0</v>
      </c>
      <c r="DJ43" s="166">
        <f t="shared" si="73"/>
        <v>25</v>
      </c>
      <c r="DK43" s="166">
        <f t="shared" si="73"/>
        <v>1117213.0501630001</v>
      </c>
      <c r="DL43" s="166">
        <f t="shared" si="73"/>
        <v>2</v>
      </c>
      <c r="DM43" s="166">
        <f t="shared" si="73"/>
        <v>108872.43559999998</v>
      </c>
      <c r="DN43" s="166">
        <f t="shared" si="73"/>
        <v>8</v>
      </c>
      <c r="DO43" s="166">
        <f t="shared" si="73"/>
        <v>723198.21588000003</v>
      </c>
      <c r="DP43" s="166">
        <f t="shared" si="73"/>
        <v>0</v>
      </c>
      <c r="DQ43" s="166">
        <f t="shared" si="73"/>
        <v>0</v>
      </c>
      <c r="DR43" s="166">
        <f>SUM(DR44:DR49)</f>
        <v>1356</v>
      </c>
      <c r="DS43" s="166">
        <f t="shared" ref="DS43" si="74">SUM(DS44:DS49)</f>
        <v>97173720.207282633</v>
      </c>
      <c r="DT43" s="166">
        <v>1356</v>
      </c>
      <c r="DU43" s="166">
        <v>94622902.578733325</v>
      </c>
      <c r="DV43" s="167">
        <f t="shared" si="5"/>
        <v>0</v>
      </c>
      <c r="DW43" s="167">
        <f t="shared" si="5"/>
        <v>2550817.6285493076</v>
      </c>
    </row>
    <row r="44" spans="1:128" ht="15.75" customHeight="1" x14ac:dyDescent="0.25">
      <c r="A44" s="154"/>
      <c r="B44" s="176">
        <v>24</v>
      </c>
      <c r="C44" s="177" t="s">
        <v>187</v>
      </c>
      <c r="D44" s="178" t="s">
        <v>188</v>
      </c>
      <c r="E44" s="158">
        <v>25969</v>
      </c>
      <c r="F44" s="179">
        <v>0.94</v>
      </c>
      <c r="G44" s="168">
        <v>1</v>
      </c>
      <c r="H44" s="169"/>
      <c r="I44" s="169"/>
      <c r="J44" s="169"/>
      <c r="K44" s="106"/>
      <c r="L44" s="180">
        <v>1.4</v>
      </c>
      <c r="M44" s="180">
        <v>1.68</v>
      </c>
      <c r="N44" s="180">
        <v>2.23</v>
      </c>
      <c r="O44" s="181">
        <v>2.57</v>
      </c>
      <c r="P44" s="182">
        <v>53</v>
      </c>
      <c r="Q44" s="182">
        <f t="shared" ref="Q44:Q49" si="75">(P44*$E44*$F44*$G44*$L44*$Q$12)</f>
        <v>1992414.3931999998</v>
      </c>
      <c r="R44" s="182"/>
      <c r="S44" s="182">
        <f t="shared" ref="S44:S49" si="76">(R44*$E44*$F44*$G44*$L44*$S$12)</f>
        <v>0</v>
      </c>
      <c r="T44" s="182">
        <v>25</v>
      </c>
      <c r="U44" s="182">
        <f t="shared" ref="U44:U49" si="77">(T44/12*11*$E44*$F44*$G44*$L44*$U$12)+(T44/12*1*$E44*$F44*$G44*$L44*$U$14)</f>
        <v>1078654.87625</v>
      </c>
      <c r="V44" s="182"/>
      <c r="W44" s="183">
        <f t="shared" ref="W44:W49" si="78">(V44*$E44*$F44*$G44*$L44*$W$12)/12*10+(V44*$E44*$F44*$G44*$L44*$W$13)/12*1++(V44*$E44*$F44*$G44*$L44*$W$14)/12*1</f>
        <v>0</v>
      </c>
      <c r="X44" s="183"/>
      <c r="Y44" s="183">
        <v>0</v>
      </c>
      <c r="Z44" s="183"/>
      <c r="AA44" s="183">
        <v>0</v>
      </c>
      <c r="AB44" s="182">
        <f t="shared" ref="AB44:AC49" si="79">X44+Z44</f>
        <v>0</v>
      </c>
      <c r="AC44" s="182">
        <f t="shared" si="79"/>
        <v>0</v>
      </c>
      <c r="AD44" s="182"/>
      <c r="AE44" s="182">
        <f t="shared" ref="AE44:AE49" si="80">(AD44*$E44*$F44*$G44*$L44*$AE$12)</f>
        <v>0</v>
      </c>
      <c r="AF44" s="182"/>
      <c r="AG44" s="182"/>
      <c r="AH44" s="182">
        <v>150</v>
      </c>
      <c r="AI44" s="182">
        <f t="shared" ref="AI44:AI49" si="81">(AH44*$E44*$F44*$G44*$L44*$AI$12)</f>
        <v>5638908.6600000001</v>
      </c>
      <c r="AJ44" s="182"/>
      <c r="AK44" s="182"/>
      <c r="AL44" s="182"/>
      <c r="AM44" s="182"/>
      <c r="AN44" s="184"/>
      <c r="AO44" s="182">
        <f t="shared" ref="AO44:AO49" si="82">(AN44*$E44*$F44*$G44*$L44*$AO$12)</f>
        <v>0</v>
      </c>
      <c r="AP44" s="182">
        <v>80</v>
      </c>
      <c r="AQ44" s="183">
        <f t="shared" ref="AQ44:AQ49" si="83">(AP44*$E44*$F44*$G44*$L44*$AQ$12)</f>
        <v>3007417.9519999996</v>
      </c>
      <c r="AR44" s="182">
        <v>186</v>
      </c>
      <c r="AS44" s="182">
        <f>(AR44*$E44*$F44*$G44*$L44*$AS$12)/12*10+(AR44*$E44*$F44*$G44*$L44*$AS$13)/12*1+(AR44*$E44*$F44*$L44*$G44*$AS$14*$AS$15)/12*1</f>
        <v>7548342.2403675988</v>
      </c>
      <c r="AT44" s="182">
        <v>133</v>
      </c>
      <c r="AU44" s="182">
        <f t="shared" ref="AU44:AU48" si="84">(AT44*$E44*$F44*$G44*$M44*$AU$12)/12*10+(AT44*$E44*$F44*$G44*$M44*$AU$13)/12+(AT44*$E44*$F44*$G44*$M44*$AU$14*$AU$15)/12</f>
        <v>6285604.6851188811</v>
      </c>
      <c r="AV44" s="188"/>
      <c r="AW44" s="182">
        <f t="shared" ref="AW44:AW49" si="85">(AV44*$E44*$F44*$G44*$M44*$AW$12)</f>
        <v>0</v>
      </c>
      <c r="AX44" s="182">
        <v>7</v>
      </c>
      <c r="AY44" s="187">
        <f t="shared" ref="AY44:AY49" si="86">(AX44*$E44*$F44*$G44*$M44*$AY$12)</f>
        <v>315778.88496</v>
      </c>
      <c r="AZ44" s="182"/>
      <c r="BA44" s="182">
        <f t="shared" ref="BA44:BA49" si="87">(AZ44*$E44*$F44*$G44*$L44*$BA$12)</f>
        <v>0</v>
      </c>
      <c r="BB44" s="182">
        <v>0</v>
      </c>
      <c r="BC44" s="182">
        <f t="shared" ref="BC44:BC49" si="88">(BB44*$E44*$F44*$G44*$L44*$BC$12)</f>
        <v>0</v>
      </c>
      <c r="BD44" s="182"/>
      <c r="BE44" s="182">
        <f t="shared" ref="BE44:BE49" si="89">(BD44*$E44*$F44*$G44*$L44*$BE$12)</f>
        <v>0</v>
      </c>
      <c r="BF44" s="182"/>
      <c r="BG44" s="182">
        <f t="shared" ref="BG44:BG49" si="90">(BF44*$E44*$F44*$G44*$L44*$BG$12)</f>
        <v>0</v>
      </c>
      <c r="BH44" s="182"/>
      <c r="BI44" s="183">
        <f t="shared" ref="BI44:BI49" si="91">(BH44*$E44*$F44*$G44*$L44*$BI$12)</f>
        <v>0</v>
      </c>
      <c r="BJ44" s="182"/>
      <c r="BK44" s="183">
        <f t="shared" ref="BK44:BK49" si="92">(BJ44*$E44*$F44*$G44*$L44*$BK$12)</f>
        <v>0</v>
      </c>
      <c r="BL44" s="182">
        <v>10</v>
      </c>
      <c r="BM44" s="182">
        <f t="shared" ref="BM44:BM46" si="93">(BL44/12*11*$E44*$F44*$G44*$L44*$BM$12)+(BL44/12*$E44*$F44*$G44*$L44*$BM$12*$BM$15)</f>
        <v>477044.15409111994</v>
      </c>
      <c r="BN44" s="182">
        <v>4</v>
      </c>
      <c r="BO44" s="182">
        <f t="shared" ref="BO44:BO49" si="94">(BN44*$E44*$F44*$G44*$M44*$BO$12)</f>
        <v>180445.07711999997</v>
      </c>
      <c r="BP44" s="182">
        <v>35</v>
      </c>
      <c r="BQ44" s="182">
        <f t="shared" ref="BQ44:BQ46" si="95">(BP44/12*11*$E44*$F44*$G44*$M44*$BQ$12)+(BP44/12*$E44*$F44*$G44*$M44*$BQ$14*$BQ$15)</f>
        <v>1543683.8829948199</v>
      </c>
      <c r="BR44" s="182"/>
      <c r="BS44" s="183">
        <f t="shared" ref="BS44:BS49" si="96">(BR44*$E44*$F44*$G44*$M44*$BS$12)</f>
        <v>0</v>
      </c>
      <c r="BT44" s="182">
        <v>12</v>
      </c>
      <c r="BU44" s="182">
        <f t="shared" ref="BU44:BU45" si="97">(BT44*$E44*$F44*$G44*$M44*$BU$12)/12*10+(BT44*$E44*$F44*$G44*$M44*$BU$13)/12+(BT44*$E44*$F44*$G44*$M44*$BU$13*$BU$15)/12</f>
        <v>548225.60865031683</v>
      </c>
      <c r="BV44" s="182">
        <v>5</v>
      </c>
      <c r="BW44" s="182">
        <f t="shared" ref="BW44:BW49" si="98">(BV44*$E44*$F44*$G44*$M44*$BW$12)</f>
        <v>184546.10159999997</v>
      </c>
      <c r="BX44" s="182">
        <v>47</v>
      </c>
      <c r="BY44" s="183">
        <f t="shared" ref="BY44:BY46" si="99">(BX44*$E44*$F44*$G44*$M44*$BY$12)/12*11+(BX44*$E44*$F44*$G44*$M44*$BY$12*$BY$15)/12</f>
        <v>2599555.7569726077</v>
      </c>
      <c r="BZ44" s="182">
        <v>35</v>
      </c>
      <c r="CA44" s="187">
        <f t="shared" ref="CA44:CA47" si="100">(BZ44*$E44*$F44*$G44*$M44*$CA$12)/12*11+(BZ44*$E44*$F44*$G44*$M44*$CA$12*$CA$15)/12</f>
        <v>1875905.9964833995</v>
      </c>
      <c r="CB44" s="182"/>
      <c r="CC44" s="182">
        <f t="shared" ref="CC44:CC49" si="101">(CB44*$E44*$F44*$G44*$L44*$CC$12)</f>
        <v>0</v>
      </c>
      <c r="CD44" s="182">
        <v>15</v>
      </c>
      <c r="CE44" s="182">
        <f t="shared" ref="CE44:CE49" si="102">(CD44*$E44*$F44*$G44*$L44*$CE$12)</f>
        <v>512628.05999999994</v>
      </c>
      <c r="CF44" s="182"/>
      <c r="CG44" s="182">
        <f t="shared" ref="CG44:CG49" si="103">(CF44*$E44*$F44*$G44*$L44*$CG$12)</f>
        <v>0</v>
      </c>
      <c r="CH44" s="182">
        <v>25</v>
      </c>
      <c r="CI44" s="182">
        <f t="shared" ref="CI44:CI45" si="104">(CH44*$E44*$F44*$G44*$M44*$CI$12)/12*11+(CH44*$E44*$F44*$G44*$M44*$CI$12*$CI$15)/12</f>
        <v>1142581.3040922</v>
      </c>
      <c r="CJ44" s="182"/>
      <c r="CK44" s="182">
        <f t="shared" ref="CK44:CK49" si="105">(CJ44*$E44*$F44*$G44*$L44*CK$12)</f>
        <v>0</v>
      </c>
      <c r="CL44" s="182"/>
      <c r="CM44" s="183">
        <f t="shared" ref="CM44:CM49" si="106">(CL44*$E44*$F44*$G44*$L44*$CM$12)</f>
        <v>0</v>
      </c>
      <c r="CN44" s="182">
        <v>3</v>
      </c>
      <c r="CO44" s="183">
        <f t="shared" ref="CO44:CO49" si="107">(CN44*$E44*$F44*$G44*$L44*$CO$12)</f>
        <v>82020.489600000001</v>
      </c>
      <c r="CP44" s="182">
        <v>23</v>
      </c>
      <c r="CQ44" s="182">
        <f>(CP44*$E44*$F44*$G44*$L44*$CQ$12)/12*11+(CP44*$E44*$F44*$G44*$L44*$CQ$12*$CQ$15)/12</f>
        <v>871172.42823743983</v>
      </c>
      <c r="CR44" s="182">
        <v>41</v>
      </c>
      <c r="CS44" s="182">
        <f>(CR44*$E44*$F44*$G44*$L44*$CS$12)/12*10+(CR44*$E44*$F44*$G44*$L44*$CS$13)/12+(CR44*$E44*$F44*$G44*$L44*$CS$13*$CS$15)/12</f>
        <v>1679834.3642930731</v>
      </c>
      <c r="CT44" s="182">
        <v>23</v>
      </c>
      <c r="CU44" s="182">
        <f t="shared" ref="CU44" si="108">(CT44*$E44*$F44*$G44*$L44*$CU$12)/12*11+(CT44*$E44*$F44*$G44*$L44*$CU$12*$CU$15)/12</f>
        <v>825166.11036467983</v>
      </c>
      <c r="CV44" s="182">
        <v>39</v>
      </c>
      <c r="CW44" s="182">
        <v>1578894.24</v>
      </c>
      <c r="CX44" s="182">
        <v>10</v>
      </c>
      <c r="CY44" s="182">
        <f t="shared" si="67"/>
        <v>442578.46085711999</v>
      </c>
      <c r="CZ44" s="182">
        <v>20</v>
      </c>
      <c r="DA44" s="182">
        <v>809952.23999999987</v>
      </c>
      <c r="DB44" s="188">
        <v>30</v>
      </c>
      <c r="DC44" s="182">
        <f t="shared" ref="DC44:DC49" si="109">(DB44*$E44*$F44*$G44*$M44*$DC$12)</f>
        <v>1107276.6095999999</v>
      </c>
      <c r="DD44" s="182"/>
      <c r="DE44" s="187">
        <f t="shared" ref="DE44:DE49" si="110">(DD44*$E44*$F44*$G44*$M44*DE$12)</f>
        <v>0</v>
      </c>
      <c r="DF44" s="182"/>
      <c r="DG44" s="182">
        <f t="shared" ref="DG44:DG49" si="111">(DF44*$E44*$F44*$G44*$M44*$DG$12)</f>
        <v>0</v>
      </c>
      <c r="DH44" s="189"/>
      <c r="DI44" s="182">
        <f t="shared" ref="DI44:DI49" si="112">(DH44*$E44*$F44*$G44*$M44*$BY$12)</f>
        <v>0</v>
      </c>
      <c r="DJ44" s="182">
        <v>25</v>
      </c>
      <c r="DK44" s="182">
        <f>(DJ44/12*11*$E44*$F44*$G44*$M44*$DK$12)+(DJ44/12*1*$E44*$F44*$M44*$G44*$DK$12*$DK$15)</f>
        <v>1117213.0501630001</v>
      </c>
      <c r="DL44" s="182">
        <f>ROUND(2*0.75,0)</f>
        <v>2</v>
      </c>
      <c r="DM44" s="182">
        <f t="shared" ref="DM44:DM49" si="113">(DL44*$E44*$F44*$G44*$N44*$DM$12)</f>
        <v>108872.43559999998</v>
      </c>
      <c r="DN44" s="182">
        <f>ROUND(9*0.75,0)</f>
        <v>7</v>
      </c>
      <c r="DO44" s="190">
        <f t="shared" ref="DO44:DO49" si="114">(DN44*$E44*$F44*$G44*$O44*$DO$12)</f>
        <v>439151.37139999995</v>
      </c>
      <c r="DP44" s="187"/>
      <c r="DQ44" s="187"/>
      <c r="DR44" s="183">
        <f t="shared" ref="DR44:DS49" si="115">SUM(P44,R44,T44,V44,AB44,AJ44,AD44,AF44,AH44,AL44,AN44,AP44,AV44,AZ44,BB44,CF44,AR44,BF44,BH44,BJ44,CT44,BL44,BN44,AT44,BR44,AX44,CV44,BT44,CX44,BV44,BX44,BZ44,CH44,CB44,CD44,CJ44,CL44,CN44,CP44,CR44,CZ44,DB44,BP44,BD44,DD44,DF44,DH44,DJ44,DL44,DN44,DP44)</f>
        <v>1045</v>
      </c>
      <c r="DS44" s="183">
        <f t="shared" si="115"/>
        <v>43993869.43401625</v>
      </c>
      <c r="DT44" s="182">
        <v>1045</v>
      </c>
      <c r="DU44" s="182">
        <v>42289503.775653325</v>
      </c>
      <c r="DV44" s="167">
        <f t="shared" si="5"/>
        <v>0</v>
      </c>
      <c r="DW44" s="167">
        <f t="shared" si="5"/>
        <v>1704365.6583629251</v>
      </c>
    </row>
    <row r="45" spans="1:128" ht="18.75" customHeight="1" x14ac:dyDescent="0.25">
      <c r="A45" s="154"/>
      <c r="B45" s="176">
        <v>25</v>
      </c>
      <c r="C45" s="177" t="s">
        <v>189</v>
      </c>
      <c r="D45" s="178" t="s">
        <v>190</v>
      </c>
      <c r="E45" s="158">
        <v>25969</v>
      </c>
      <c r="F45" s="179">
        <v>5.32</v>
      </c>
      <c r="G45" s="202">
        <v>0.8</v>
      </c>
      <c r="H45" s="203"/>
      <c r="I45" s="203"/>
      <c r="J45" s="203"/>
      <c r="K45" s="106"/>
      <c r="L45" s="180">
        <v>1.4</v>
      </c>
      <c r="M45" s="180">
        <v>1.68</v>
      </c>
      <c r="N45" s="180">
        <v>2.23</v>
      </c>
      <c r="O45" s="181">
        <v>2.57</v>
      </c>
      <c r="P45" s="182">
        <v>25</v>
      </c>
      <c r="Q45" s="182">
        <f t="shared" si="75"/>
        <v>4255176.4639999997</v>
      </c>
      <c r="R45" s="182"/>
      <c r="S45" s="182">
        <f t="shared" si="76"/>
        <v>0</v>
      </c>
      <c r="T45" s="182">
        <v>13</v>
      </c>
      <c r="U45" s="182">
        <f t="shared" si="77"/>
        <v>2539566.6805599998</v>
      </c>
      <c r="V45" s="182"/>
      <c r="W45" s="183">
        <f t="shared" si="78"/>
        <v>0</v>
      </c>
      <c r="X45" s="183"/>
      <c r="Y45" s="183">
        <v>0</v>
      </c>
      <c r="Z45" s="183"/>
      <c r="AA45" s="183">
        <v>0</v>
      </c>
      <c r="AB45" s="182">
        <f t="shared" si="79"/>
        <v>0</v>
      </c>
      <c r="AC45" s="182">
        <f t="shared" si="79"/>
        <v>0</v>
      </c>
      <c r="AD45" s="182"/>
      <c r="AE45" s="182">
        <f t="shared" si="80"/>
        <v>0</v>
      </c>
      <c r="AF45" s="182"/>
      <c r="AG45" s="182"/>
      <c r="AH45" s="182">
        <v>50</v>
      </c>
      <c r="AI45" s="182">
        <f t="shared" si="81"/>
        <v>8510352.9279999994</v>
      </c>
      <c r="AJ45" s="182"/>
      <c r="AK45" s="182"/>
      <c r="AL45" s="182"/>
      <c r="AM45" s="182"/>
      <c r="AN45" s="184"/>
      <c r="AO45" s="182">
        <f t="shared" si="82"/>
        <v>0</v>
      </c>
      <c r="AP45" s="182">
        <v>3</v>
      </c>
      <c r="AQ45" s="183">
        <f t="shared" si="83"/>
        <v>510621.17568000004</v>
      </c>
      <c r="AR45" s="182"/>
      <c r="AS45" s="182">
        <f t="shared" ref="AS45:AS49" si="116">(AR45*$E45*$F45*$G45*$L45*$AS$12)/12*10+(AR45*$E45*$F45*$G45*$L45*$AS$13)/12*1+(AR45*$E45*$F45*$G45*$L45*$AS$14)/12*1</f>
        <v>0</v>
      </c>
      <c r="AT45" s="182">
        <v>2</v>
      </c>
      <c r="AU45" s="182">
        <f t="shared" si="84"/>
        <v>427956.06366766855</v>
      </c>
      <c r="AV45" s="188"/>
      <c r="AW45" s="182">
        <f t="shared" si="85"/>
        <v>0</v>
      </c>
      <c r="AX45" s="182"/>
      <c r="AY45" s="187">
        <f t="shared" si="86"/>
        <v>0</v>
      </c>
      <c r="AZ45" s="182"/>
      <c r="BA45" s="182">
        <f t="shared" si="87"/>
        <v>0</v>
      </c>
      <c r="BB45" s="182"/>
      <c r="BC45" s="182">
        <f t="shared" si="88"/>
        <v>0</v>
      </c>
      <c r="BD45" s="182"/>
      <c r="BE45" s="182">
        <f t="shared" si="89"/>
        <v>0</v>
      </c>
      <c r="BF45" s="182"/>
      <c r="BG45" s="182">
        <f t="shared" si="90"/>
        <v>0</v>
      </c>
      <c r="BH45" s="182"/>
      <c r="BI45" s="183">
        <f t="shared" si="91"/>
        <v>0</v>
      </c>
      <c r="BJ45" s="182"/>
      <c r="BK45" s="183">
        <f t="shared" si="92"/>
        <v>0</v>
      </c>
      <c r="BL45" s="182">
        <v>1</v>
      </c>
      <c r="BM45" s="182">
        <f t="shared" si="93"/>
        <v>215989.35317146877</v>
      </c>
      <c r="BN45" s="182"/>
      <c r="BO45" s="182">
        <f t="shared" si="94"/>
        <v>0</v>
      </c>
      <c r="BP45" s="182">
        <v>1</v>
      </c>
      <c r="BQ45" s="182">
        <f t="shared" si="95"/>
        <v>199693.57465124479</v>
      </c>
      <c r="BR45" s="182"/>
      <c r="BS45" s="183">
        <f t="shared" si="96"/>
        <v>0</v>
      </c>
      <c r="BT45" s="182">
        <v>1</v>
      </c>
      <c r="BU45" s="182">
        <f t="shared" si="97"/>
        <v>206848.24383118338</v>
      </c>
      <c r="BV45" s="182">
        <v>2</v>
      </c>
      <c r="BW45" s="182">
        <f t="shared" si="98"/>
        <v>334224.76953600004</v>
      </c>
      <c r="BX45" s="182"/>
      <c r="BY45" s="183">
        <f t="shared" si="99"/>
        <v>0</v>
      </c>
      <c r="BZ45" s="182">
        <v>3</v>
      </c>
      <c r="CA45" s="187">
        <f t="shared" si="100"/>
        <v>728011.1782097281</v>
      </c>
      <c r="CB45" s="182"/>
      <c r="CC45" s="182">
        <f t="shared" si="101"/>
        <v>0</v>
      </c>
      <c r="CD45" s="182">
        <v>1</v>
      </c>
      <c r="CE45" s="182">
        <f t="shared" si="102"/>
        <v>154733.68960000001</v>
      </c>
      <c r="CF45" s="182"/>
      <c r="CG45" s="182">
        <f t="shared" si="103"/>
        <v>0</v>
      </c>
      <c r="CH45" s="182">
        <v>5</v>
      </c>
      <c r="CI45" s="182">
        <f t="shared" si="104"/>
        <v>1034643.836216256</v>
      </c>
      <c r="CJ45" s="182"/>
      <c r="CK45" s="182">
        <f t="shared" si="105"/>
        <v>0</v>
      </c>
      <c r="CL45" s="182"/>
      <c r="CM45" s="183">
        <f t="shared" si="106"/>
        <v>0</v>
      </c>
      <c r="CN45" s="182"/>
      <c r="CO45" s="183">
        <f t="shared" si="107"/>
        <v>0</v>
      </c>
      <c r="CP45" s="182"/>
      <c r="CQ45" s="182">
        <f t="shared" ref="CQ45:CQ49" si="117">(CP45*$E45*$F45*$G45*$L45*$CQ$12)</f>
        <v>0</v>
      </c>
      <c r="CR45" s="182"/>
      <c r="CS45" s="182">
        <f t="shared" ref="CS45:CS49" si="118">(CR45*$E45*$F45*$G45*$L45*$CS$12)</f>
        <v>0</v>
      </c>
      <c r="CT45" s="182"/>
      <c r="CU45" s="182">
        <f t="shared" ref="CU45:CU49" si="119">(CT45*$E45*$F45*$G45*$L45*$CU$12)</f>
        <v>0</v>
      </c>
      <c r="CV45" s="182">
        <v>1</v>
      </c>
      <c r="CW45" s="182">
        <v>185680.43</v>
      </c>
      <c r="CX45" s="182">
        <v>1</v>
      </c>
      <c r="CY45" s="182">
        <f t="shared" si="67"/>
        <v>200384.4605753088</v>
      </c>
      <c r="CZ45" s="182"/>
      <c r="DA45" s="182">
        <v>0</v>
      </c>
      <c r="DB45" s="188">
        <v>1</v>
      </c>
      <c r="DC45" s="182">
        <f t="shared" si="109"/>
        <v>167112.38476800002</v>
      </c>
      <c r="DD45" s="182"/>
      <c r="DE45" s="187">
        <f t="shared" si="110"/>
        <v>0</v>
      </c>
      <c r="DF45" s="182"/>
      <c r="DG45" s="182">
        <f t="shared" si="111"/>
        <v>0</v>
      </c>
      <c r="DH45" s="189"/>
      <c r="DI45" s="182">
        <f t="shared" si="112"/>
        <v>0</v>
      </c>
      <c r="DJ45" s="182"/>
      <c r="DK45" s="182">
        <f t="shared" ref="DK45:DK49" si="120">(DJ45*$E45*$F45*$G45*$M45*$DK$12)</f>
        <v>0</v>
      </c>
      <c r="DL45" s="182"/>
      <c r="DM45" s="182">
        <f t="shared" si="113"/>
        <v>0</v>
      </c>
      <c r="DN45" s="182">
        <f>ROUND(1*0.75,0)</f>
        <v>1</v>
      </c>
      <c r="DO45" s="190">
        <f t="shared" si="114"/>
        <v>284046.84448000003</v>
      </c>
      <c r="DP45" s="187"/>
      <c r="DQ45" s="187"/>
      <c r="DR45" s="183">
        <f t="shared" si="115"/>
        <v>111</v>
      </c>
      <c r="DS45" s="183">
        <f t="shared" si="115"/>
        <v>19955042.076946858</v>
      </c>
      <c r="DT45" s="182">
        <v>111</v>
      </c>
      <c r="DU45" s="182">
        <v>19679914.838319998</v>
      </c>
      <c r="DV45" s="167">
        <f t="shared" si="5"/>
        <v>0</v>
      </c>
      <c r="DW45" s="167">
        <f t="shared" si="5"/>
        <v>275127.23862686008</v>
      </c>
    </row>
    <row r="46" spans="1:128" ht="19.5" customHeight="1" x14ac:dyDescent="0.25">
      <c r="A46" s="154"/>
      <c r="B46" s="176">
        <v>26</v>
      </c>
      <c r="C46" s="177" t="s">
        <v>191</v>
      </c>
      <c r="D46" s="178" t="s">
        <v>192</v>
      </c>
      <c r="E46" s="158">
        <v>25969</v>
      </c>
      <c r="F46" s="179">
        <v>4.5</v>
      </c>
      <c r="G46" s="168">
        <v>1</v>
      </c>
      <c r="H46" s="169"/>
      <c r="I46" s="169"/>
      <c r="J46" s="169"/>
      <c r="K46" s="106"/>
      <c r="L46" s="180">
        <v>1.4</v>
      </c>
      <c r="M46" s="180">
        <v>1.68</v>
      </c>
      <c r="N46" s="180">
        <v>2.23</v>
      </c>
      <c r="O46" s="181">
        <v>2.57</v>
      </c>
      <c r="P46" s="182">
        <v>42</v>
      </c>
      <c r="Q46" s="182">
        <f t="shared" si="75"/>
        <v>7558537.1399999997</v>
      </c>
      <c r="R46" s="182"/>
      <c r="S46" s="182">
        <f t="shared" si="76"/>
        <v>0</v>
      </c>
      <c r="T46" s="182">
        <v>68</v>
      </c>
      <c r="U46" s="182">
        <f t="shared" si="77"/>
        <v>14045463.494999999</v>
      </c>
      <c r="V46" s="182"/>
      <c r="W46" s="183">
        <f t="shared" si="78"/>
        <v>0</v>
      </c>
      <c r="X46" s="183"/>
      <c r="Y46" s="183">
        <v>0</v>
      </c>
      <c r="Z46" s="183"/>
      <c r="AA46" s="183">
        <v>0</v>
      </c>
      <c r="AB46" s="182">
        <f t="shared" si="79"/>
        <v>0</v>
      </c>
      <c r="AC46" s="182">
        <f t="shared" si="79"/>
        <v>0</v>
      </c>
      <c r="AD46" s="182"/>
      <c r="AE46" s="182">
        <f t="shared" si="80"/>
        <v>0</v>
      </c>
      <c r="AF46" s="182"/>
      <c r="AG46" s="182"/>
      <c r="AH46" s="182"/>
      <c r="AI46" s="182">
        <f t="shared" si="81"/>
        <v>0</v>
      </c>
      <c r="AJ46" s="182"/>
      <c r="AK46" s="182"/>
      <c r="AL46" s="182"/>
      <c r="AM46" s="182"/>
      <c r="AN46" s="184"/>
      <c r="AO46" s="182">
        <f t="shared" si="82"/>
        <v>0</v>
      </c>
      <c r="AP46" s="182">
        <v>5</v>
      </c>
      <c r="AQ46" s="183">
        <f t="shared" si="83"/>
        <v>899825.85000000009</v>
      </c>
      <c r="AR46" s="182"/>
      <c r="AS46" s="182">
        <f t="shared" si="116"/>
        <v>0</v>
      </c>
      <c r="AT46" s="182">
        <v>10</v>
      </c>
      <c r="AU46" s="182">
        <f t="shared" si="84"/>
        <v>2262455.6937318002</v>
      </c>
      <c r="AV46" s="188"/>
      <c r="AW46" s="182">
        <f t="shared" si="85"/>
        <v>0</v>
      </c>
      <c r="AX46" s="182"/>
      <c r="AY46" s="187">
        <f t="shared" si="86"/>
        <v>0</v>
      </c>
      <c r="AZ46" s="182"/>
      <c r="BA46" s="182">
        <f t="shared" si="87"/>
        <v>0</v>
      </c>
      <c r="BB46" s="182">
        <v>0</v>
      </c>
      <c r="BC46" s="182">
        <f t="shared" si="88"/>
        <v>0</v>
      </c>
      <c r="BD46" s="182"/>
      <c r="BE46" s="182">
        <f t="shared" si="89"/>
        <v>0</v>
      </c>
      <c r="BF46" s="182"/>
      <c r="BG46" s="182">
        <f t="shared" si="90"/>
        <v>0</v>
      </c>
      <c r="BH46" s="182"/>
      <c r="BI46" s="183">
        <f t="shared" si="91"/>
        <v>0</v>
      </c>
      <c r="BJ46" s="182"/>
      <c r="BK46" s="183">
        <f t="shared" si="92"/>
        <v>0</v>
      </c>
      <c r="BL46" s="182">
        <v>1</v>
      </c>
      <c r="BM46" s="182">
        <f t="shared" si="93"/>
        <v>228372.20142659993</v>
      </c>
      <c r="BN46" s="182">
        <v>1</v>
      </c>
      <c r="BO46" s="182">
        <f t="shared" si="94"/>
        <v>215958.204</v>
      </c>
      <c r="BP46" s="182">
        <v>15</v>
      </c>
      <c r="BQ46" s="182">
        <f t="shared" si="95"/>
        <v>3167132.5866914997</v>
      </c>
      <c r="BR46" s="182"/>
      <c r="BS46" s="183">
        <f t="shared" si="96"/>
        <v>0</v>
      </c>
      <c r="BT46" s="182"/>
      <c r="BU46" s="182">
        <f t="shared" ref="BU46:BU49" si="121">(BT46*$E46*$F46*$G46*$M46*$BU$12)</f>
        <v>0</v>
      </c>
      <c r="BV46" s="182"/>
      <c r="BW46" s="182">
        <f t="shared" si="98"/>
        <v>0</v>
      </c>
      <c r="BX46" s="182">
        <v>2</v>
      </c>
      <c r="BY46" s="183">
        <f t="shared" si="99"/>
        <v>529560.92831039988</v>
      </c>
      <c r="BZ46" s="182">
        <v>1</v>
      </c>
      <c r="CA46" s="187">
        <f t="shared" si="100"/>
        <v>256582.88705699996</v>
      </c>
      <c r="CB46" s="182"/>
      <c r="CC46" s="182">
        <f t="shared" si="101"/>
        <v>0</v>
      </c>
      <c r="CD46" s="182"/>
      <c r="CE46" s="182">
        <f t="shared" si="102"/>
        <v>0</v>
      </c>
      <c r="CF46" s="182"/>
      <c r="CG46" s="182">
        <f t="shared" si="103"/>
        <v>0</v>
      </c>
      <c r="CH46" s="182"/>
      <c r="CI46" s="182">
        <f t="shared" ref="CI46:CI49" si="122">(CH46*$E46*$F46*$G46*$M46*$CI$12)</f>
        <v>0</v>
      </c>
      <c r="CJ46" s="182"/>
      <c r="CK46" s="182">
        <f t="shared" si="105"/>
        <v>0</v>
      </c>
      <c r="CL46" s="182"/>
      <c r="CM46" s="183">
        <f t="shared" si="106"/>
        <v>0</v>
      </c>
      <c r="CN46" s="182"/>
      <c r="CO46" s="183">
        <f t="shared" si="107"/>
        <v>0</v>
      </c>
      <c r="CP46" s="182"/>
      <c r="CQ46" s="182">
        <f t="shared" si="117"/>
        <v>0</v>
      </c>
      <c r="CR46" s="182"/>
      <c r="CS46" s="182">
        <f t="shared" si="118"/>
        <v>0</v>
      </c>
      <c r="CT46" s="182"/>
      <c r="CU46" s="182">
        <f t="shared" si="119"/>
        <v>0</v>
      </c>
      <c r="CV46" s="182">
        <v>2</v>
      </c>
      <c r="CW46" s="182">
        <v>343569.87</v>
      </c>
      <c r="CX46" s="182">
        <v>1</v>
      </c>
      <c r="CY46" s="182">
        <f t="shared" si="67"/>
        <v>211872.66743159996</v>
      </c>
      <c r="CZ46" s="182"/>
      <c r="DA46" s="182">
        <v>0</v>
      </c>
      <c r="DB46" s="188"/>
      <c r="DC46" s="182">
        <f t="shared" si="109"/>
        <v>0</v>
      </c>
      <c r="DD46" s="182"/>
      <c r="DE46" s="187">
        <f t="shared" si="110"/>
        <v>0</v>
      </c>
      <c r="DF46" s="182"/>
      <c r="DG46" s="182">
        <f t="shared" si="111"/>
        <v>0</v>
      </c>
      <c r="DH46" s="189"/>
      <c r="DI46" s="182">
        <f t="shared" si="112"/>
        <v>0</v>
      </c>
      <c r="DJ46" s="182"/>
      <c r="DK46" s="182">
        <f t="shared" si="120"/>
        <v>0</v>
      </c>
      <c r="DL46" s="182"/>
      <c r="DM46" s="182">
        <f t="shared" si="113"/>
        <v>0</v>
      </c>
      <c r="DN46" s="182"/>
      <c r="DO46" s="190">
        <f t="shared" si="114"/>
        <v>0</v>
      </c>
      <c r="DP46" s="187"/>
      <c r="DQ46" s="187"/>
      <c r="DR46" s="183">
        <f t="shared" si="115"/>
        <v>148</v>
      </c>
      <c r="DS46" s="183">
        <f t="shared" si="115"/>
        <v>29719331.523648895</v>
      </c>
      <c r="DT46" s="182">
        <v>148</v>
      </c>
      <c r="DU46" s="182">
        <v>29177262.198000003</v>
      </c>
      <c r="DV46" s="167">
        <f t="shared" si="5"/>
        <v>0</v>
      </c>
      <c r="DW46" s="167">
        <f t="shared" si="5"/>
        <v>542069.32564889267</v>
      </c>
    </row>
    <row r="47" spans="1:128" ht="33.75" customHeight="1" x14ac:dyDescent="0.25">
      <c r="A47" s="154"/>
      <c r="B47" s="176">
        <v>27</v>
      </c>
      <c r="C47" s="177" t="s">
        <v>193</v>
      </c>
      <c r="D47" s="178" t="s">
        <v>194</v>
      </c>
      <c r="E47" s="158">
        <v>25969</v>
      </c>
      <c r="F47" s="179">
        <v>1.0900000000000001</v>
      </c>
      <c r="G47" s="168">
        <v>1</v>
      </c>
      <c r="H47" s="169"/>
      <c r="I47" s="169"/>
      <c r="J47" s="169"/>
      <c r="K47" s="106"/>
      <c r="L47" s="180">
        <v>1.4</v>
      </c>
      <c r="M47" s="180">
        <v>1.68</v>
      </c>
      <c r="N47" s="180">
        <v>2.23</v>
      </c>
      <c r="O47" s="181">
        <v>2.57</v>
      </c>
      <c r="P47" s="182">
        <v>39</v>
      </c>
      <c r="Q47" s="182">
        <f t="shared" si="75"/>
        <v>1700070.9726000002</v>
      </c>
      <c r="R47" s="182"/>
      <c r="S47" s="182">
        <f t="shared" si="76"/>
        <v>0</v>
      </c>
      <c r="T47" s="182"/>
      <c r="U47" s="182">
        <f t="shared" si="77"/>
        <v>0</v>
      </c>
      <c r="V47" s="182"/>
      <c r="W47" s="183">
        <f t="shared" si="78"/>
        <v>0</v>
      </c>
      <c r="X47" s="183"/>
      <c r="Y47" s="183">
        <v>0</v>
      </c>
      <c r="Z47" s="183"/>
      <c r="AA47" s="183">
        <v>0</v>
      </c>
      <c r="AB47" s="182">
        <f t="shared" si="79"/>
        <v>0</v>
      </c>
      <c r="AC47" s="182">
        <f t="shared" si="79"/>
        <v>0</v>
      </c>
      <c r="AD47" s="182"/>
      <c r="AE47" s="182">
        <f t="shared" si="80"/>
        <v>0</v>
      </c>
      <c r="AF47" s="182"/>
      <c r="AG47" s="182"/>
      <c r="AH47" s="182"/>
      <c r="AI47" s="182">
        <f t="shared" si="81"/>
        <v>0</v>
      </c>
      <c r="AJ47" s="182"/>
      <c r="AK47" s="182"/>
      <c r="AL47" s="182"/>
      <c r="AM47" s="182"/>
      <c r="AN47" s="184"/>
      <c r="AO47" s="182">
        <f t="shared" si="82"/>
        <v>0</v>
      </c>
      <c r="AP47" s="182">
        <v>2</v>
      </c>
      <c r="AQ47" s="183">
        <f t="shared" si="83"/>
        <v>87183.126800000013</v>
      </c>
      <c r="AR47" s="182"/>
      <c r="AS47" s="182">
        <f t="shared" si="116"/>
        <v>0</v>
      </c>
      <c r="AT47" s="182">
        <v>2</v>
      </c>
      <c r="AU47" s="182">
        <f t="shared" si="84"/>
        <v>109603.40916300722</v>
      </c>
      <c r="AV47" s="188"/>
      <c r="AW47" s="182">
        <f t="shared" si="85"/>
        <v>0</v>
      </c>
      <c r="AX47" s="182"/>
      <c r="AY47" s="187">
        <f t="shared" si="86"/>
        <v>0</v>
      </c>
      <c r="AZ47" s="182"/>
      <c r="BA47" s="182">
        <f t="shared" si="87"/>
        <v>0</v>
      </c>
      <c r="BB47" s="182">
        <v>0</v>
      </c>
      <c r="BC47" s="182">
        <f t="shared" si="88"/>
        <v>0</v>
      </c>
      <c r="BD47" s="182"/>
      <c r="BE47" s="182">
        <f t="shared" si="89"/>
        <v>0</v>
      </c>
      <c r="BF47" s="182"/>
      <c r="BG47" s="182">
        <f t="shared" si="90"/>
        <v>0</v>
      </c>
      <c r="BH47" s="182"/>
      <c r="BI47" s="183">
        <f t="shared" si="91"/>
        <v>0</v>
      </c>
      <c r="BJ47" s="182"/>
      <c r="BK47" s="183">
        <f t="shared" si="92"/>
        <v>0</v>
      </c>
      <c r="BL47" s="182"/>
      <c r="BM47" s="182">
        <f t="shared" ref="BM47:BM49" si="123">(BL47*$E47*$F47*$G47*$L47*$BM$12)</f>
        <v>0</v>
      </c>
      <c r="BN47" s="182"/>
      <c r="BO47" s="182">
        <f t="shared" si="94"/>
        <v>0</v>
      </c>
      <c r="BP47" s="182"/>
      <c r="BQ47" s="182">
        <f t="shared" ref="BQ47:BQ49" si="124">(BP47*$E47*$F47*$G47*$M47*$BQ$12)</f>
        <v>0</v>
      </c>
      <c r="BR47" s="182"/>
      <c r="BS47" s="183">
        <f t="shared" si="96"/>
        <v>0</v>
      </c>
      <c r="BT47" s="182"/>
      <c r="BU47" s="182">
        <f t="shared" si="121"/>
        <v>0</v>
      </c>
      <c r="BV47" s="182"/>
      <c r="BW47" s="182">
        <f t="shared" si="98"/>
        <v>0</v>
      </c>
      <c r="BX47" s="182"/>
      <c r="BY47" s="183">
        <f t="shared" ref="BY47:BY49" si="125">(BX47*$E47*$F47*$G47*$M47*$BY$12)</f>
        <v>0</v>
      </c>
      <c r="BZ47" s="182">
        <v>1</v>
      </c>
      <c r="CA47" s="187">
        <f t="shared" si="100"/>
        <v>62150.077087140002</v>
      </c>
      <c r="CB47" s="182"/>
      <c r="CC47" s="182">
        <f t="shared" si="101"/>
        <v>0</v>
      </c>
      <c r="CD47" s="182"/>
      <c r="CE47" s="182">
        <f t="shared" si="102"/>
        <v>0</v>
      </c>
      <c r="CF47" s="182"/>
      <c r="CG47" s="182">
        <f t="shared" si="103"/>
        <v>0</v>
      </c>
      <c r="CH47" s="182"/>
      <c r="CI47" s="182">
        <f t="shared" si="122"/>
        <v>0</v>
      </c>
      <c r="CJ47" s="182"/>
      <c r="CK47" s="182">
        <f t="shared" si="105"/>
        <v>0</v>
      </c>
      <c r="CL47" s="182"/>
      <c r="CM47" s="183">
        <f t="shared" si="106"/>
        <v>0</v>
      </c>
      <c r="CN47" s="182"/>
      <c r="CO47" s="183">
        <f t="shared" si="107"/>
        <v>0</v>
      </c>
      <c r="CP47" s="182"/>
      <c r="CQ47" s="182">
        <f t="shared" si="117"/>
        <v>0</v>
      </c>
      <c r="CR47" s="182"/>
      <c r="CS47" s="182">
        <f t="shared" si="118"/>
        <v>0</v>
      </c>
      <c r="CT47" s="182"/>
      <c r="CU47" s="182">
        <f t="shared" si="119"/>
        <v>0</v>
      </c>
      <c r="CV47" s="182"/>
      <c r="CW47" s="182">
        <v>0</v>
      </c>
      <c r="CX47" s="182"/>
      <c r="CY47" s="182">
        <f t="shared" ref="CY47:CY49" si="126">(CX47*$E47*$F47*$G47*$M47*$CY$12)</f>
        <v>0</v>
      </c>
      <c r="CZ47" s="182"/>
      <c r="DA47" s="182">
        <v>0</v>
      </c>
      <c r="DB47" s="188"/>
      <c r="DC47" s="182">
        <f t="shared" si="109"/>
        <v>0</v>
      </c>
      <c r="DD47" s="182"/>
      <c r="DE47" s="187">
        <f t="shared" si="110"/>
        <v>0</v>
      </c>
      <c r="DF47" s="182"/>
      <c r="DG47" s="182">
        <f t="shared" si="111"/>
        <v>0</v>
      </c>
      <c r="DH47" s="189"/>
      <c r="DI47" s="182">
        <f t="shared" si="112"/>
        <v>0</v>
      </c>
      <c r="DJ47" s="182"/>
      <c r="DK47" s="182">
        <f t="shared" si="120"/>
        <v>0</v>
      </c>
      <c r="DL47" s="182"/>
      <c r="DM47" s="182">
        <f t="shared" si="113"/>
        <v>0</v>
      </c>
      <c r="DN47" s="182"/>
      <c r="DO47" s="190">
        <f t="shared" si="114"/>
        <v>0</v>
      </c>
      <c r="DP47" s="187"/>
      <c r="DQ47" s="187"/>
      <c r="DR47" s="183">
        <f t="shared" si="115"/>
        <v>44</v>
      </c>
      <c r="DS47" s="183">
        <f t="shared" si="115"/>
        <v>1959007.5856501474</v>
      </c>
      <c r="DT47" s="182">
        <v>44</v>
      </c>
      <c r="DU47" s="182">
        <v>1951316.8925600003</v>
      </c>
      <c r="DV47" s="167">
        <f t="shared" si="5"/>
        <v>0</v>
      </c>
      <c r="DW47" s="167">
        <f t="shared" si="5"/>
        <v>7690.693090147106</v>
      </c>
    </row>
    <row r="48" spans="1:128" ht="36.75" customHeight="1" x14ac:dyDescent="0.25">
      <c r="A48" s="154"/>
      <c r="B48" s="176">
        <v>28</v>
      </c>
      <c r="C48" s="177" t="s">
        <v>195</v>
      </c>
      <c r="D48" s="178" t="s">
        <v>196</v>
      </c>
      <c r="E48" s="158">
        <v>25969</v>
      </c>
      <c r="F48" s="201">
        <v>4.51</v>
      </c>
      <c r="G48" s="168">
        <v>1</v>
      </c>
      <c r="H48" s="169"/>
      <c r="I48" s="169"/>
      <c r="J48" s="169"/>
      <c r="K48" s="106"/>
      <c r="L48" s="180">
        <v>1.4</v>
      </c>
      <c r="M48" s="180">
        <v>1.68</v>
      </c>
      <c r="N48" s="180">
        <v>2.23</v>
      </c>
      <c r="O48" s="181">
        <v>2.57</v>
      </c>
      <c r="P48" s="182">
        <v>3</v>
      </c>
      <c r="Q48" s="182">
        <f t="shared" si="75"/>
        <v>541095.27780000004</v>
      </c>
      <c r="R48" s="182"/>
      <c r="S48" s="182">
        <f t="shared" si="76"/>
        <v>0</v>
      </c>
      <c r="T48" s="182"/>
      <c r="U48" s="182">
        <f t="shared" si="77"/>
        <v>0</v>
      </c>
      <c r="V48" s="182"/>
      <c r="W48" s="183">
        <f t="shared" si="78"/>
        <v>0</v>
      </c>
      <c r="X48" s="183"/>
      <c r="Y48" s="183">
        <v>0</v>
      </c>
      <c r="Z48" s="183"/>
      <c r="AA48" s="183">
        <v>0</v>
      </c>
      <c r="AB48" s="182">
        <f t="shared" si="79"/>
        <v>0</v>
      </c>
      <c r="AC48" s="182">
        <f t="shared" si="79"/>
        <v>0</v>
      </c>
      <c r="AD48" s="182"/>
      <c r="AE48" s="182">
        <f t="shared" si="80"/>
        <v>0</v>
      </c>
      <c r="AF48" s="182"/>
      <c r="AG48" s="182"/>
      <c r="AH48" s="182"/>
      <c r="AI48" s="182">
        <f t="shared" si="81"/>
        <v>0</v>
      </c>
      <c r="AJ48" s="182"/>
      <c r="AK48" s="182"/>
      <c r="AL48" s="182"/>
      <c r="AM48" s="182"/>
      <c r="AN48" s="184"/>
      <c r="AO48" s="182">
        <f t="shared" si="82"/>
        <v>0</v>
      </c>
      <c r="AP48" s="182"/>
      <c r="AQ48" s="183">
        <f t="shared" si="83"/>
        <v>0</v>
      </c>
      <c r="AR48" s="182"/>
      <c r="AS48" s="182">
        <f t="shared" si="116"/>
        <v>0</v>
      </c>
      <c r="AT48" s="182">
        <v>4</v>
      </c>
      <c r="AU48" s="182">
        <f t="shared" si="84"/>
        <v>906993.34922048147</v>
      </c>
      <c r="AV48" s="188"/>
      <c r="AW48" s="182">
        <f t="shared" si="85"/>
        <v>0</v>
      </c>
      <c r="AX48" s="182"/>
      <c r="AY48" s="187">
        <f t="shared" si="86"/>
        <v>0</v>
      </c>
      <c r="AZ48" s="182"/>
      <c r="BA48" s="182">
        <f t="shared" si="87"/>
        <v>0</v>
      </c>
      <c r="BB48" s="182"/>
      <c r="BC48" s="182">
        <f t="shared" si="88"/>
        <v>0</v>
      </c>
      <c r="BD48" s="182"/>
      <c r="BE48" s="182">
        <f t="shared" si="89"/>
        <v>0</v>
      </c>
      <c r="BF48" s="182"/>
      <c r="BG48" s="182">
        <f t="shared" si="90"/>
        <v>0</v>
      </c>
      <c r="BH48" s="182"/>
      <c r="BI48" s="183">
        <f t="shared" si="91"/>
        <v>0</v>
      </c>
      <c r="BJ48" s="182"/>
      <c r="BK48" s="183">
        <f t="shared" si="92"/>
        <v>0</v>
      </c>
      <c r="BL48" s="182"/>
      <c r="BM48" s="182">
        <f t="shared" si="123"/>
        <v>0</v>
      </c>
      <c r="BN48" s="182"/>
      <c r="BO48" s="182">
        <f t="shared" si="94"/>
        <v>0</v>
      </c>
      <c r="BP48" s="182"/>
      <c r="BQ48" s="182">
        <f t="shared" si="124"/>
        <v>0</v>
      </c>
      <c r="BR48" s="182"/>
      <c r="BS48" s="183">
        <f t="shared" si="96"/>
        <v>0</v>
      </c>
      <c r="BT48" s="182"/>
      <c r="BU48" s="182">
        <f t="shared" si="121"/>
        <v>0</v>
      </c>
      <c r="BV48" s="182"/>
      <c r="BW48" s="182">
        <f t="shared" si="98"/>
        <v>0</v>
      </c>
      <c r="BX48" s="182"/>
      <c r="BY48" s="183">
        <f t="shared" si="125"/>
        <v>0</v>
      </c>
      <c r="BZ48" s="182"/>
      <c r="CA48" s="187">
        <f t="shared" ref="CA48:CA49" si="127">(BZ48*$E48*$F48*$G48*$M48*$CA$12)</f>
        <v>0</v>
      </c>
      <c r="CB48" s="182"/>
      <c r="CC48" s="182">
        <f t="shared" si="101"/>
        <v>0</v>
      </c>
      <c r="CD48" s="182"/>
      <c r="CE48" s="182">
        <f t="shared" si="102"/>
        <v>0</v>
      </c>
      <c r="CF48" s="182"/>
      <c r="CG48" s="182">
        <f t="shared" si="103"/>
        <v>0</v>
      </c>
      <c r="CH48" s="182"/>
      <c r="CI48" s="182">
        <f t="shared" si="122"/>
        <v>0</v>
      </c>
      <c r="CJ48" s="182"/>
      <c r="CK48" s="182">
        <f t="shared" si="105"/>
        <v>0</v>
      </c>
      <c r="CL48" s="182"/>
      <c r="CM48" s="183">
        <f t="shared" si="106"/>
        <v>0</v>
      </c>
      <c r="CN48" s="182"/>
      <c r="CO48" s="183">
        <f t="shared" si="107"/>
        <v>0</v>
      </c>
      <c r="CP48" s="182"/>
      <c r="CQ48" s="182">
        <f t="shared" si="117"/>
        <v>0</v>
      </c>
      <c r="CR48" s="182"/>
      <c r="CS48" s="182">
        <f t="shared" si="118"/>
        <v>0</v>
      </c>
      <c r="CT48" s="182"/>
      <c r="CU48" s="182">
        <f t="shared" si="119"/>
        <v>0</v>
      </c>
      <c r="CV48" s="182">
        <v>1</v>
      </c>
      <c r="CW48" s="182">
        <v>98380.96</v>
      </c>
      <c r="CX48" s="182"/>
      <c r="CY48" s="182">
        <f t="shared" si="126"/>
        <v>0</v>
      </c>
      <c r="CZ48" s="182"/>
      <c r="DA48" s="182">
        <v>0</v>
      </c>
      <c r="DB48" s="188"/>
      <c r="DC48" s="182">
        <f t="shared" si="109"/>
        <v>0</v>
      </c>
      <c r="DD48" s="182"/>
      <c r="DE48" s="187">
        <f t="shared" si="110"/>
        <v>0</v>
      </c>
      <c r="DF48" s="182"/>
      <c r="DG48" s="182">
        <f t="shared" si="111"/>
        <v>0</v>
      </c>
      <c r="DH48" s="189"/>
      <c r="DI48" s="182">
        <f t="shared" si="112"/>
        <v>0</v>
      </c>
      <c r="DJ48" s="182"/>
      <c r="DK48" s="182">
        <f t="shared" si="120"/>
        <v>0</v>
      </c>
      <c r="DL48" s="182"/>
      <c r="DM48" s="182">
        <f t="shared" si="113"/>
        <v>0</v>
      </c>
      <c r="DN48" s="182"/>
      <c r="DO48" s="190">
        <f t="shared" si="114"/>
        <v>0</v>
      </c>
      <c r="DP48" s="187"/>
      <c r="DQ48" s="187"/>
      <c r="DR48" s="183">
        <f t="shared" si="115"/>
        <v>8</v>
      </c>
      <c r="DS48" s="183">
        <f t="shared" si="115"/>
        <v>1546469.5870204815</v>
      </c>
      <c r="DT48" s="182">
        <v>8</v>
      </c>
      <c r="DU48" s="182">
        <v>1524904.8742</v>
      </c>
      <c r="DV48" s="167">
        <f t="shared" si="5"/>
        <v>0</v>
      </c>
      <c r="DW48" s="167">
        <f t="shared" si="5"/>
        <v>21564.712820481509</v>
      </c>
    </row>
    <row r="49" spans="1:127" ht="45.75" customHeight="1" x14ac:dyDescent="0.25">
      <c r="A49" s="154"/>
      <c r="B49" s="178">
        <v>29</v>
      </c>
      <c r="C49" s="178" t="s">
        <v>197</v>
      </c>
      <c r="D49" s="178" t="s">
        <v>198</v>
      </c>
      <c r="E49" s="158">
        <v>25969</v>
      </c>
      <c r="F49" s="179">
        <v>2.0499999999999998</v>
      </c>
      <c r="G49" s="168">
        <v>1</v>
      </c>
      <c r="H49" s="169"/>
      <c r="I49" s="169"/>
      <c r="J49" s="169"/>
      <c r="K49" s="106"/>
      <c r="L49" s="180">
        <v>1.4</v>
      </c>
      <c r="M49" s="180">
        <v>1.68</v>
      </c>
      <c r="N49" s="180">
        <v>2.23</v>
      </c>
      <c r="O49" s="181">
        <v>2.57</v>
      </c>
      <c r="P49" s="182">
        <v>0</v>
      </c>
      <c r="Q49" s="182">
        <f t="shared" si="75"/>
        <v>0</v>
      </c>
      <c r="R49" s="182"/>
      <c r="S49" s="182">
        <f t="shared" si="76"/>
        <v>0</v>
      </c>
      <c r="T49" s="182"/>
      <c r="U49" s="182">
        <f t="shared" si="77"/>
        <v>0</v>
      </c>
      <c r="V49" s="182"/>
      <c r="W49" s="183">
        <f t="shared" si="78"/>
        <v>0</v>
      </c>
      <c r="X49" s="183"/>
      <c r="Y49" s="183">
        <v>0</v>
      </c>
      <c r="Z49" s="183"/>
      <c r="AA49" s="183">
        <v>0</v>
      </c>
      <c r="AB49" s="182">
        <f t="shared" si="79"/>
        <v>0</v>
      </c>
      <c r="AC49" s="182">
        <f t="shared" si="79"/>
        <v>0</v>
      </c>
      <c r="AD49" s="182"/>
      <c r="AE49" s="182">
        <f t="shared" si="80"/>
        <v>0</v>
      </c>
      <c r="AF49" s="182"/>
      <c r="AG49" s="182"/>
      <c r="AH49" s="182"/>
      <c r="AI49" s="182">
        <f t="shared" si="81"/>
        <v>0</v>
      </c>
      <c r="AJ49" s="182"/>
      <c r="AK49" s="182"/>
      <c r="AL49" s="182"/>
      <c r="AM49" s="182"/>
      <c r="AN49" s="205"/>
      <c r="AO49" s="182">
        <f t="shared" si="82"/>
        <v>0</v>
      </c>
      <c r="AP49" s="182"/>
      <c r="AQ49" s="183">
        <f t="shared" si="83"/>
        <v>0</v>
      </c>
      <c r="AR49" s="182"/>
      <c r="AS49" s="182">
        <f t="shared" si="116"/>
        <v>0</v>
      </c>
      <c r="AT49" s="182"/>
      <c r="AU49" s="182">
        <f t="shared" ref="AU49" si="128">(AT49*$E49*$F49*$G49*$M49*$AU$12)</f>
        <v>0</v>
      </c>
      <c r="AV49" s="188"/>
      <c r="AW49" s="182">
        <f t="shared" si="85"/>
        <v>0</v>
      </c>
      <c r="AX49" s="182"/>
      <c r="AY49" s="187">
        <f t="shared" si="86"/>
        <v>0</v>
      </c>
      <c r="AZ49" s="182"/>
      <c r="BA49" s="182">
        <f t="shared" si="87"/>
        <v>0</v>
      </c>
      <c r="BB49" s="182"/>
      <c r="BC49" s="182">
        <f t="shared" si="88"/>
        <v>0</v>
      </c>
      <c r="BD49" s="182"/>
      <c r="BE49" s="182">
        <f t="shared" si="89"/>
        <v>0</v>
      </c>
      <c r="BF49" s="182"/>
      <c r="BG49" s="182">
        <f t="shared" si="90"/>
        <v>0</v>
      </c>
      <c r="BH49" s="182"/>
      <c r="BI49" s="183">
        <f t="shared" si="91"/>
        <v>0</v>
      </c>
      <c r="BJ49" s="182"/>
      <c r="BK49" s="183">
        <f t="shared" si="92"/>
        <v>0</v>
      </c>
      <c r="BL49" s="182"/>
      <c r="BM49" s="182">
        <f t="shared" si="123"/>
        <v>0</v>
      </c>
      <c r="BN49" s="182"/>
      <c r="BO49" s="182">
        <f t="shared" si="94"/>
        <v>0</v>
      </c>
      <c r="BP49" s="182"/>
      <c r="BQ49" s="182">
        <f t="shared" si="124"/>
        <v>0</v>
      </c>
      <c r="BR49" s="182"/>
      <c r="BS49" s="183">
        <f t="shared" si="96"/>
        <v>0</v>
      </c>
      <c r="BT49" s="182"/>
      <c r="BU49" s="182">
        <f t="shared" si="121"/>
        <v>0</v>
      </c>
      <c r="BV49" s="182"/>
      <c r="BW49" s="182">
        <f t="shared" si="98"/>
        <v>0</v>
      </c>
      <c r="BX49" s="182"/>
      <c r="BY49" s="183">
        <f t="shared" si="125"/>
        <v>0</v>
      </c>
      <c r="BZ49" s="182"/>
      <c r="CA49" s="187">
        <f t="shared" si="127"/>
        <v>0</v>
      </c>
      <c r="CB49" s="182"/>
      <c r="CC49" s="182">
        <f t="shared" si="101"/>
        <v>0</v>
      </c>
      <c r="CD49" s="182"/>
      <c r="CE49" s="182">
        <f t="shared" si="102"/>
        <v>0</v>
      </c>
      <c r="CF49" s="182"/>
      <c r="CG49" s="182">
        <f t="shared" si="103"/>
        <v>0</v>
      </c>
      <c r="CH49" s="182"/>
      <c r="CI49" s="182">
        <f t="shared" si="122"/>
        <v>0</v>
      </c>
      <c r="CJ49" s="182"/>
      <c r="CK49" s="182">
        <f t="shared" si="105"/>
        <v>0</v>
      </c>
      <c r="CL49" s="182"/>
      <c r="CM49" s="183">
        <f t="shared" si="106"/>
        <v>0</v>
      </c>
      <c r="CN49" s="182"/>
      <c r="CO49" s="183">
        <f t="shared" si="107"/>
        <v>0</v>
      </c>
      <c r="CP49" s="182"/>
      <c r="CQ49" s="182">
        <f t="shared" si="117"/>
        <v>0</v>
      </c>
      <c r="CR49" s="182"/>
      <c r="CS49" s="182">
        <f t="shared" si="118"/>
        <v>0</v>
      </c>
      <c r="CT49" s="182"/>
      <c r="CU49" s="182">
        <f t="shared" si="119"/>
        <v>0</v>
      </c>
      <c r="CV49" s="182"/>
      <c r="CW49" s="182">
        <v>0</v>
      </c>
      <c r="CX49" s="182"/>
      <c r="CY49" s="182">
        <f t="shared" si="126"/>
        <v>0</v>
      </c>
      <c r="CZ49" s="182"/>
      <c r="DA49" s="182">
        <v>0</v>
      </c>
      <c r="DB49" s="188"/>
      <c r="DC49" s="182">
        <f t="shared" si="109"/>
        <v>0</v>
      </c>
      <c r="DD49" s="182"/>
      <c r="DE49" s="187">
        <f t="shared" si="110"/>
        <v>0</v>
      </c>
      <c r="DF49" s="182"/>
      <c r="DG49" s="182">
        <f t="shared" si="111"/>
        <v>0</v>
      </c>
      <c r="DH49" s="189"/>
      <c r="DI49" s="182">
        <f t="shared" si="112"/>
        <v>0</v>
      </c>
      <c r="DJ49" s="182"/>
      <c r="DK49" s="182">
        <f t="shared" si="120"/>
        <v>0</v>
      </c>
      <c r="DL49" s="182"/>
      <c r="DM49" s="182">
        <f t="shared" si="113"/>
        <v>0</v>
      </c>
      <c r="DN49" s="182"/>
      <c r="DO49" s="190">
        <f t="shared" si="114"/>
        <v>0</v>
      </c>
      <c r="DP49" s="187"/>
      <c r="DQ49" s="187"/>
      <c r="DR49" s="183">
        <f t="shared" si="115"/>
        <v>0</v>
      </c>
      <c r="DS49" s="183">
        <f t="shared" si="115"/>
        <v>0</v>
      </c>
      <c r="DT49" s="182">
        <v>0</v>
      </c>
      <c r="DU49" s="182">
        <v>0</v>
      </c>
      <c r="DV49" s="167">
        <f t="shared" si="5"/>
        <v>0</v>
      </c>
      <c r="DW49" s="167">
        <f t="shared" si="5"/>
        <v>0</v>
      </c>
    </row>
    <row r="50" spans="1:127" ht="15.75" customHeight="1" x14ac:dyDescent="0.25">
      <c r="A50" s="170">
        <v>6</v>
      </c>
      <c r="B50" s="197"/>
      <c r="C50" s="198"/>
      <c r="D50" s="157" t="s">
        <v>199</v>
      </c>
      <c r="E50" s="158">
        <v>25969</v>
      </c>
      <c r="F50" s="164">
        <v>0.8</v>
      </c>
      <c r="G50" s="171"/>
      <c r="H50" s="169"/>
      <c r="I50" s="169"/>
      <c r="J50" s="169"/>
      <c r="K50" s="173"/>
      <c r="L50" s="174">
        <v>1.4</v>
      </c>
      <c r="M50" s="174">
        <v>1.68</v>
      </c>
      <c r="N50" s="174">
        <v>2.23</v>
      </c>
      <c r="O50" s="175">
        <v>2.57</v>
      </c>
      <c r="P50" s="166">
        <f t="shared" ref="P50:CA50" si="129">SUM(P51:P54)</f>
        <v>32</v>
      </c>
      <c r="Q50" s="166">
        <f t="shared" si="129"/>
        <v>448498.6246941</v>
      </c>
      <c r="R50" s="166">
        <f t="shared" si="129"/>
        <v>15</v>
      </c>
      <c r="S50" s="166">
        <f t="shared" si="129"/>
        <v>190259.86330559998</v>
      </c>
      <c r="T50" s="166">
        <f t="shared" si="129"/>
        <v>54</v>
      </c>
      <c r="U50" s="166">
        <f t="shared" si="129"/>
        <v>1533640.8067061896</v>
      </c>
      <c r="V50" s="166">
        <f t="shared" si="129"/>
        <v>3</v>
      </c>
      <c r="W50" s="166">
        <f t="shared" si="129"/>
        <v>43895.038095974858</v>
      </c>
      <c r="X50" s="166">
        <v>0</v>
      </c>
      <c r="Y50" s="166">
        <v>0</v>
      </c>
      <c r="Z50" s="166">
        <v>0</v>
      </c>
      <c r="AA50" s="166">
        <v>0</v>
      </c>
      <c r="AB50" s="166">
        <f t="shared" si="129"/>
        <v>0</v>
      </c>
      <c r="AC50" s="166">
        <f t="shared" si="129"/>
        <v>0</v>
      </c>
      <c r="AD50" s="166">
        <f t="shared" si="129"/>
        <v>956</v>
      </c>
      <c r="AE50" s="166">
        <f t="shared" si="129"/>
        <v>79252563.200792313</v>
      </c>
      <c r="AF50" s="166">
        <f t="shared" si="129"/>
        <v>0</v>
      </c>
      <c r="AG50" s="166">
        <f t="shared" si="129"/>
        <v>0</v>
      </c>
      <c r="AH50" s="166">
        <f t="shared" si="129"/>
        <v>75</v>
      </c>
      <c r="AI50" s="166">
        <f t="shared" si="129"/>
        <v>6277577.7808799995</v>
      </c>
      <c r="AJ50" s="166">
        <f>SUM(AJ51:AJ54)</f>
        <v>0</v>
      </c>
      <c r="AK50" s="166">
        <f>SUM(AK51:AK54)</f>
        <v>0</v>
      </c>
      <c r="AL50" s="166">
        <f t="shared" si="129"/>
        <v>0</v>
      </c>
      <c r="AM50" s="166">
        <f t="shared" si="129"/>
        <v>0</v>
      </c>
      <c r="AN50" s="166">
        <f t="shared" si="129"/>
        <v>1</v>
      </c>
      <c r="AO50" s="166">
        <f t="shared" si="129"/>
        <v>12683.99088704</v>
      </c>
      <c r="AP50" s="166">
        <f t="shared" si="129"/>
        <v>27</v>
      </c>
      <c r="AQ50" s="166">
        <f t="shared" si="129"/>
        <v>498706.63275908004</v>
      </c>
      <c r="AR50" s="166">
        <f t="shared" si="129"/>
        <v>201</v>
      </c>
      <c r="AS50" s="166">
        <f t="shared" si="129"/>
        <v>7422837.223415751</v>
      </c>
      <c r="AT50" s="166">
        <f t="shared" si="129"/>
        <v>5</v>
      </c>
      <c r="AU50" s="166">
        <f t="shared" si="129"/>
        <v>79458.889641969276</v>
      </c>
      <c r="AV50" s="166">
        <f t="shared" si="129"/>
        <v>0</v>
      </c>
      <c r="AW50" s="166">
        <f t="shared" si="129"/>
        <v>0</v>
      </c>
      <c r="AX50" s="166">
        <f t="shared" si="129"/>
        <v>9</v>
      </c>
      <c r="AY50" s="166">
        <f t="shared" si="129"/>
        <v>238740.9323512</v>
      </c>
      <c r="AZ50" s="166">
        <f t="shared" si="129"/>
        <v>0</v>
      </c>
      <c r="BA50" s="166">
        <f t="shared" si="129"/>
        <v>0</v>
      </c>
      <c r="BB50" s="166">
        <f t="shared" si="129"/>
        <v>0</v>
      </c>
      <c r="BC50" s="166">
        <f t="shared" si="129"/>
        <v>0</v>
      </c>
      <c r="BD50" s="166">
        <f t="shared" si="129"/>
        <v>0</v>
      </c>
      <c r="BE50" s="166">
        <f t="shared" si="129"/>
        <v>0</v>
      </c>
      <c r="BF50" s="166">
        <f t="shared" si="129"/>
        <v>0</v>
      </c>
      <c r="BG50" s="166">
        <f t="shared" si="129"/>
        <v>0</v>
      </c>
      <c r="BH50" s="166">
        <f t="shared" si="129"/>
        <v>0</v>
      </c>
      <c r="BI50" s="166">
        <f t="shared" si="129"/>
        <v>0</v>
      </c>
      <c r="BJ50" s="166">
        <f t="shared" si="129"/>
        <v>0</v>
      </c>
      <c r="BK50" s="166">
        <f t="shared" si="129"/>
        <v>0</v>
      </c>
      <c r="BL50" s="166">
        <f t="shared" si="129"/>
        <v>6</v>
      </c>
      <c r="BM50" s="166">
        <f t="shared" si="129"/>
        <v>348217.04026307049</v>
      </c>
      <c r="BN50" s="166">
        <f t="shared" si="129"/>
        <v>10</v>
      </c>
      <c r="BO50" s="166">
        <f t="shared" si="129"/>
        <v>322102.99544934405</v>
      </c>
      <c r="BP50" s="166">
        <f t="shared" si="129"/>
        <v>85</v>
      </c>
      <c r="BQ50" s="166">
        <f t="shared" si="129"/>
        <v>1261819.158849647</v>
      </c>
      <c r="BR50" s="166">
        <f t="shared" si="129"/>
        <v>0</v>
      </c>
      <c r="BS50" s="166">
        <f t="shared" si="129"/>
        <v>0</v>
      </c>
      <c r="BT50" s="166">
        <f t="shared" si="129"/>
        <v>34</v>
      </c>
      <c r="BU50" s="166">
        <f t="shared" si="129"/>
        <v>1471170.1889333827</v>
      </c>
      <c r="BV50" s="166">
        <f t="shared" si="129"/>
        <v>11</v>
      </c>
      <c r="BW50" s="166">
        <f t="shared" si="129"/>
        <v>415971.97384512</v>
      </c>
      <c r="BX50" s="166">
        <f t="shared" si="129"/>
        <v>6</v>
      </c>
      <c r="BY50" s="166">
        <f t="shared" si="129"/>
        <v>173911.35456608707</v>
      </c>
      <c r="BZ50" s="166">
        <f t="shared" si="129"/>
        <v>28</v>
      </c>
      <c r="CA50" s="166">
        <f t="shared" si="129"/>
        <v>665574.10134493583</v>
      </c>
      <c r="CB50" s="166">
        <f t="shared" ref="CB50:DQ50" si="130">SUM(CB51:CB54)</f>
        <v>140</v>
      </c>
      <c r="CC50" s="166">
        <f t="shared" si="130"/>
        <v>1915649.8940780989</v>
      </c>
      <c r="CD50" s="166">
        <f t="shared" si="130"/>
        <v>180</v>
      </c>
      <c r="CE50" s="166">
        <f t="shared" si="130"/>
        <v>8214998.5576639986</v>
      </c>
      <c r="CF50" s="166">
        <f t="shared" si="130"/>
        <v>0</v>
      </c>
      <c r="CG50" s="166">
        <f t="shared" si="130"/>
        <v>0</v>
      </c>
      <c r="CH50" s="166">
        <f t="shared" si="130"/>
        <v>62</v>
      </c>
      <c r="CI50" s="166">
        <f t="shared" si="130"/>
        <v>4851422.666880222</v>
      </c>
      <c r="CJ50" s="166">
        <f t="shared" si="130"/>
        <v>0</v>
      </c>
      <c r="CK50" s="166">
        <f t="shared" si="130"/>
        <v>0</v>
      </c>
      <c r="CL50" s="166">
        <f t="shared" si="130"/>
        <v>0</v>
      </c>
      <c r="CM50" s="166">
        <f t="shared" si="130"/>
        <v>0</v>
      </c>
      <c r="CN50" s="166">
        <f t="shared" si="130"/>
        <v>24</v>
      </c>
      <c r="CO50" s="166">
        <f t="shared" si="130"/>
        <v>409255.87314263999</v>
      </c>
      <c r="CP50" s="166">
        <f t="shared" si="130"/>
        <v>23</v>
      </c>
      <c r="CQ50" s="166">
        <f t="shared" si="130"/>
        <v>1281307.3474321128</v>
      </c>
      <c r="CR50" s="166">
        <f t="shared" si="130"/>
        <v>118</v>
      </c>
      <c r="CS50" s="166">
        <f t="shared" si="130"/>
        <v>1629005.9235256966</v>
      </c>
      <c r="CT50" s="166">
        <f t="shared" si="130"/>
        <v>41</v>
      </c>
      <c r="CU50" s="166">
        <f t="shared" si="130"/>
        <v>496699.46457671921</v>
      </c>
      <c r="CV50" s="166">
        <f t="shared" si="130"/>
        <v>33</v>
      </c>
      <c r="CW50" s="166">
        <v>517072.0699999996</v>
      </c>
      <c r="CX50" s="166">
        <f t="shared" si="130"/>
        <v>0</v>
      </c>
      <c r="CY50" s="166">
        <f t="shared" si="130"/>
        <v>0</v>
      </c>
      <c r="CZ50" s="166">
        <f t="shared" si="130"/>
        <v>24</v>
      </c>
      <c r="DA50" s="166">
        <v>317813.31999999989</v>
      </c>
      <c r="DB50" s="166">
        <f t="shared" si="130"/>
        <v>20</v>
      </c>
      <c r="DC50" s="166">
        <f t="shared" si="130"/>
        <v>667566.50997120002</v>
      </c>
      <c r="DD50" s="166">
        <f t="shared" si="130"/>
        <v>0</v>
      </c>
      <c r="DE50" s="166">
        <f t="shared" si="130"/>
        <v>0</v>
      </c>
      <c r="DF50" s="166">
        <f t="shared" si="130"/>
        <v>0</v>
      </c>
      <c r="DG50" s="166">
        <f t="shared" si="130"/>
        <v>0</v>
      </c>
      <c r="DH50" s="166">
        <f t="shared" si="130"/>
        <v>7</v>
      </c>
      <c r="DI50" s="166">
        <f t="shared" si="130"/>
        <v>220624.63281931999</v>
      </c>
      <c r="DJ50" s="166">
        <f t="shared" si="130"/>
        <v>14</v>
      </c>
      <c r="DK50" s="166">
        <f t="shared" si="130"/>
        <v>716445.75933404895</v>
      </c>
      <c r="DL50" s="166">
        <f t="shared" si="130"/>
        <v>15</v>
      </c>
      <c r="DM50" s="166">
        <f t="shared" si="130"/>
        <v>274093.15530719998</v>
      </c>
      <c r="DN50" s="166">
        <f t="shared" si="130"/>
        <v>9</v>
      </c>
      <c r="DO50" s="166">
        <f t="shared" si="130"/>
        <v>425853.23236063996</v>
      </c>
      <c r="DP50" s="166">
        <f t="shared" si="130"/>
        <v>0</v>
      </c>
      <c r="DQ50" s="166">
        <f t="shared" si="130"/>
        <v>0</v>
      </c>
      <c r="DR50" s="166">
        <f>SUM(DR51:DR54)</f>
        <v>2268</v>
      </c>
      <c r="DS50" s="166">
        <f t="shared" ref="DS50" si="131">SUM(DS51:DS54)</f>
        <v>122595438.20387268</v>
      </c>
      <c r="DT50" s="166">
        <v>2259</v>
      </c>
      <c r="DU50" s="166">
        <v>120645793.73300079</v>
      </c>
      <c r="DV50" s="167">
        <f t="shared" si="5"/>
        <v>9</v>
      </c>
      <c r="DW50" s="167">
        <f t="shared" si="5"/>
        <v>1949644.4708718956</v>
      </c>
    </row>
    <row r="51" spans="1:127" ht="30" x14ac:dyDescent="0.25">
      <c r="A51" s="154"/>
      <c r="B51" s="177">
        <v>30</v>
      </c>
      <c r="C51" s="177" t="s">
        <v>200</v>
      </c>
      <c r="D51" s="259" t="s">
        <v>201</v>
      </c>
      <c r="E51" s="158">
        <v>25969</v>
      </c>
      <c r="F51" s="257">
        <v>0.32</v>
      </c>
      <c r="G51" s="168">
        <v>1</v>
      </c>
      <c r="H51" s="169"/>
      <c r="I51" s="169"/>
      <c r="J51" s="169"/>
      <c r="K51" s="195">
        <v>0.97470000000000001</v>
      </c>
      <c r="L51" s="180">
        <v>1.4</v>
      </c>
      <c r="M51" s="180">
        <v>1.68</v>
      </c>
      <c r="N51" s="180">
        <v>2.23</v>
      </c>
      <c r="O51" s="181">
        <v>2.57</v>
      </c>
      <c r="P51" s="182">
        <v>31</v>
      </c>
      <c r="Q51" s="196">
        <f>(P51*$E51*$F51*((1-$K51)+$K51*$L51*$Q$12*$G51))</f>
        <v>393203.71749824</v>
      </c>
      <c r="R51" s="196">
        <v>15</v>
      </c>
      <c r="S51" s="196">
        <f>(R51*$E51*$F51*((1-$K51)+$K51*$L51*$S$12*$G51))</f>
        <v>190259.86330559998</v>
      </c>
      <c r="T51" s="182">
        <v>40</v>
      </c>
      <c r="U51" s="196">
        <f>(T51/12*11*$E51*$F51*((1-$K51)+$K51*$L51*U$12*$G51))+(T51/12*1*$E51*$F51*((1-$K51)+$K51*$L51*U$14*$G51))</f>
        <v>581068.13376320002</v>
      </c>
      <c r="V51" s="182">
        <v>3</v>
      </c>
      <c r="W51" s="196">
        <f>(V51*$E51*$F51*((1-$K51)+$K51*$L51*$W$12*$G51))/12*10+(V51*$E51*$F51*((1-$K51)+$K51*$L51*$W$13*$G51))/12*1+(V51*$E51*$F51*((1-$K51)+$K51*$L51*$W$14*$G51*$W$15))/12*1</f>
        <v>43895.038095974858</v>
      </c>
      <c r="X51" s="196"/>
      <c r="Y51" s="196">
        <v>0</v>
      </c>
      <c r="Z51" s="196"/>
      <c r="AA51" s="196"/>
      <c r="AB51" s="182">
        <f t="shared" ref="AB51:AC54" si="132">X51+Z51</f>
        <v>0</v>
      </c>
      <c r="AC51" s="182">
        <f t="shared" si="132"/>
        <v>0</v>
      </c>
      <c r="AD51" s="182">
        <v>28</v>
      </c>
      <c r="AE51" s="196">
        <f>(AD51*$E51*$F51*((1-$K51)+$K51*$L51*$AE$12*$G51))</f>
        <v>355151.74483712</v>
      </c>
      <c r="AF51" s="182"/>
      <c r="AG51" s="182"/>
      <c r="AH51" s="182"/>
      <c r="AI51" s="196">
        <f>(AH51*$E51*$F51*((1-$K51)+$K51*$L51*AI$12*$G51))</f>
        <v>0</v>
      </c>
      <c r="AJ51" s="182"/>
      <c r="AK51" s="182"/>
      <c r="AL51" s="182"/>
      <c r="AM51" s="182"/>
      <c r="AN51" s="182">
        <v>1</v>
      </c>
      <c r="AO51" s="196">
        <f t="shared" ref="AO51:AO54" si="133">(AN51*$E51*$F51*((1-$K51)+$K51*$G51*AO$12*$L51))</f>
        <v>12683.99088704</v>
      </c>
      <c r="AP51" s="182">
        <f>22+2</f>
        <v>24</v>
      </c>
      <c r="AQ51" s="196">
        <f>(AP51*$E51*$F51*((1-$K51)+$K51*$G51*AQ$12*$L51))</f>
        <v>304415.78128896002</v>
      </c>
      <c r="AR51" s="182">
        <v>100</v>
      </c>
      <c r="AS51" s="196">
        <f>(AR51*$E51*$F51*((1-$K51)+$K51*$G51*AS$12*$L51))/12*10+(AR51*$E51*$F51*((1-$K51)+$K51*$G51*AS$13*$L51))/12*1+(AR51*$E51*$F51*((1-$K51)+$K51*$G51*AS$14*$L51*$AS$15))/12*1</f>
        <v>1367603.167545056</v>
      </c>
      <c r="AT51" s="182">
        <v>5</v>
      </c>
      <c r="AU51" s="196">
        <f>(AT51*$E51*$F51*((1-$K51)+$K51*$G51*AU$12*$M51))/12*10+(AT51*$E51*$F51*((1-$K51)+$K51*$G51*AU$13*$M51))/12+(AT51*$E51*$F51*((1-$K51)+$K51*$G51*AU$14*$M51*$AU$15))/12</f>
        <v>79458.889641969276</v>
      </c>
      <c r="AV51" s="188"/>
      <c r="AW51" s="182"/>
      <c r="AX51" s="182">
        <v>7</v>
      </c>
      <c r="AY51" s="196">
        <f>(AX51*$E51*$F51*((1-$K51)+$K51*$G51*AY$12*$M51))</f>
        <v>106251.180417536</v>
      </c>
      <c r="AZ51" s="182"/>
      <c r="BA51" s="182"/>
      <c r="BB51" s="182"/>
      <c r="BC51" s="182"/>
      <c r="BD51" s="182"/>
      <c r="BE51" s="182"/>
      <c r="BF51" s="182"/>
      <c r="BG51" s="182"/>
      <c r="BH51" s="182"/>
      <c r="BI51" s="182"/>
      <c r="BJ51" s="182"/>
      <c r="BK51" s="182"/>
      <c r="BL51" s="182">
        <v>2</v>
      </c>
      <c r="BM51" s="196">
        <f>(BL51/12*11*$E51*$F51*((1-$K51)+$K51*$G51*BM$12*$L51))+(BL51/12*$E51*$F51*((1-$K51)+$K51*$G51*BM$12*$L51*$BM$15))</f>
        <v>32078.358098560991</v>
      </c>
      <c r="BN51" s="182">
        <v>8</v>
      </c>
      <c r="BO51" s="196">
        <f>(BN51*$E51*$F51*((1-$K51)+$K51*$M51*$G51*$BO$12))</f>
        <v>121429.92047718402</v>
      </c>
      <c r="BP51" s="182">
        <v>85</v>
      </c>
      <c r="BQ51" s="196">
        <f>(BP51/12*11*$E51*$F51*((1-$K51)+$K51*$G51*BQ$12*$M51))+(BP51/12*$E51*$F51*((1-$K51)+$K51*$G51*BQ$12*$M51*BQ$15))</f>
        <v>1261819.158849647</v>
      </c>
      <c r="BR51" s="182"/>
      <c r="BS51" s="182"/>
      <c r="BT51" s="182">
        <v>23</v>
      </c>
      <c r="BU51" s="196">
        <f>(BT51*$E51*$F51*((1-$K51)+$K51*$G51*BU$12*$M51))/12*10+(BT51*$E51*$F51*((1-$K51)+$K51*$G51*BU$13*$M51))/12+(BT51*$E51*$F51*((1-$K51)+$K51*$G51*BU$13*$M51*$BU$15))/12</f>
        <v>353493.12540401891</v>
      </c>
      <c r="BV51" s="182">
        <v>5</v>
      </c>
      <c r="BW51" s="196">
        <f>(BV51*$E51*$F51*((1-$K51)+$K51*$G51*BW$12*$M51))</f>
        <v>62285.977538560008</v>
      </c>
      <c r="BX51" s="182">
        <v>5</v>
      </c>
      <c r="BY51" s="196">
        <f>(BX51*$E51*$F51*((1-$K51)+$K51*$G51*BY$12*$M51))/12*11+(BX51*$E51*$F51*((1-$K51)+$K51*$G51*BY$12*$M51*$BY$15))/12</f>
        <v>92813.542777626106</v>
      </c>
      <c r="BZ51" s="182">
        <v>26</v>
      </c>
      <c r="CA51" s="196">
        <f>(BZ51*$E51*$F51*((1-$K51)+$K51*$G51*CA$12*$M51))/12*11+(BZ51*$E51*$F51*((1-$K51)+$K51*$G51*CA$12*$M51*$CA$15))/12</f>
        <v>467857.47038406442</v>
      </c>
      <c r="CB51" s="182">
        <v>140</v>
      </c>
      <c r="CC51" s="196">
        <f>(CB51*$E51*$F51*((1-$K51)+$K51*$G51*CC$12*$L51))/12*11+(CB51*$E51*$F51*((1-$K51)+$K51*$G51*CC$12*$L51*$CC$15))/12</f>
        <v>1915649.8940780989</v>
      </c>
      <c r="CD51" s="182">
        <v>85</v>
      </c>
      <c r="CE51" s="196">
        <f>(CD51*$E51*$F51*((1-$K51)+$K51*$G51*CE$12*$L51))</f>
        <v>981751.1891839999</v>
      </c>
      <c r="CF51" s="182"/>
      <c r="CG51" s="182"/>
      <c r="CH51" s="182"/>
      <c r="CI51" s="196">
        <f>(CH51*$E51*$F51*((1-$K51)+$K51*$G51*CI$12*$M51))</f>
        <v>0</v>
      </c>
      <c r="CJ51" s="182"/>
      <c r="CK51" s="182"/>
      <c r="CL51" s="182"/>
      <c r="CM51" s="182"/>
      <c r="CN51" s="182">
        <v>18</v>
      </c>
      <c r="CO51" s="196">
        <f>(CN51*$E51*$F51*((1-$K51)+$K51*$G51*CO$12*$L51))</f>
        <v>167077.08354815998</v>
      </c>
      <c r="CP51" s="182"/>
      <c r="CQ51" s="196">
        <f>(CP51*$E51*$F51*((1-$K51)+$K51*$G51*CQ$12*$L51))</f>
        <v>0</v>
      </c>
      <c r="CR51" s="182">
        <v>118</v>
      </c>
      <c r="CS51" s="196">
        <f>(CR51*$E51*$F51*((1-$K51)+$K51*$G51*CS$12*$L51))/12*10+(CR51*$E51*$F51*((1-$K51)+$K51*$G51*CS$13*$L51))/12+(CR51*$E51*$F51*((1-$K51)+$K51*$G51*CS$13*$L51*$CS$15))/12</f>
        <v>1629005.9235256966</v>
      </c>
      <c r="CT51" s="182">
        <v>41</v>
      </c>
      <c r="CU51" s="206">
        <f>CT51*$E51*$F51*((1-$K51)+$K51*$L51*$CU$12*$G51)/12*11+CT51*$E51*$F51*((1-$K51)+$K51*$L51*$CU$12*$G51*$CU$15)/12</f>
        <v>496699.46457671921</v>
      </c>
      <c r="CV51" s="182">
        <v>33</v>
      </c>
      <c r="CW51" s="196">
        <v>517072.0699999996</v>
      </c>
      <c r="CX51" s="182"/>
      <c r="CY51" s="196">
        <f>(CX51*$E51*$F51*((1-$K51)+$K51*$G51*CY$12*$M51))</f>
        <v>0</v>
      </c>
      <c r="CZ51" s="182">
        <v>24</v>
      </c>
      <c r="DA51" s="196">
        <v>317813.31999999989</v>
      </c>
      <c r="DB51" s="188">
        <v>10</v>
      </c>
      <c r="DC51" s="196">
        <f>(DB51*$E51*$F51*((1-$K51)+$K51*$G51*DC$12*$M51))</f>
        <v>124571.95507712002</v>
      </c>
      <c r="DD51" s="182"/>
      <c r="DE51" s="187"/>
      <c r="DF51" s="182"/>
      <c r="DG51" s="182"/>
      <c r="DH51" s="189">
        <f>ROUND(6*0.75,0)</f>
        <v>5</v>
      </c>
      <c r="DI51" s="196">
        <f>((DH51*$E51*$F51*((1-$K51)+$K51*$G51*DI$12*$M51)))</f>
        <v>69089.838918400012</v>
      </c>
      <c r="DJ51" s="182">
        <v>4</v>
      </c>
      <c r="DK51" s="196">
        <f>(DJ51*$E51*$F51*((1-$K51)+$K51*$G51*DK$12*$M51))/12*11+(DJ51*$E51*$F51*((1-$K51)+$K51*$G51*DK$12*$M51*$DK$15))/12</f>
        <v>60153.868470134541</v>
      </c>
      <c r="DL51" s="182">
        <f>ROUND(20*0.75,0)</f>
        <v>15</v>
      </c>
      <c r="DM51" s="196">
        <f>(DL51*$E51*$F51*((1-$K51)+$K51*$G51*DM$12*$N51))</f>
        <v>274093.15530719998</v>
      </c>
      <c r="DN51" s="182">
        <f>ROUND(9*0.75,0)</f>
        <v>7</v>
      </c>
      <c r="DO51" s="196">
        <f>(DN51*$E51*$F51*((1-$K51)+$K51*$G51*DO$12*$O51))</f>
        <v>147187.74638624</v>
      </c>
      <c r="DP51" s="187"/>
      <c r="DQ51" s="187"/>
      <c r="DR51" s="183">
        <f t="shared" ref="DR51:DS54" si="134">SUM(P51,R51,T51,V51,AB51,AJ51,AD51,AF51,AH51,AL51,AN51,AP51,AV51,AZ51,BB51,CF51,AR51,BF51,BH51,BJ51,CT51,BL51,BN51,AT51,BR51,AX51,CV51,BT51,CX51,BV51,BX51,BZ51,CH51,CB51,CD51,CJ51,CL51,CN51,CP51,CR51,CZ51,DB51,BP51,BD51,DD51,DF51,DH51,DJ51,DL51,DN51,DP51)</f>
        <v>908</v>
      </c>
      <c r="DS51" s="183">
        <f t="shared" si="134"/>
        <v>12525934.569882127</v>
      </c>
      <c r="DT51" s="182">
        <v>899</v>
      </c>
      <c r="DU51" s="182">
        <v>11639008.586409664</v>
      </c>
      <c r="DV51" s="167">
        <f t="shared" si="5"/>
        <v>9</v>
      </c>
      <c r="DW51" s="167">
        <f t="shared" si="5"/>
        <v>886925.98347246274</v>
      </c>
    </row>
    <row r="52" spans="1:127" ht="45" x14ac:dyDescent="0.25">
      <c r="A52" s="154"/>
      <c r="B52" s="177">
        <v>31</v>
      </c>
      <c r="C52" s="177" t="s">
        <v>202</v>
      </c>
      <c r="D52" s="259" t="s">
        <v>203</v>
      </c>
      <c r="E52" s="158">
        <v>25969</v>
      </c>
      <c r="F52" s="257">
        <v>1.39</v>
      </c>
      <c r="G52" s="168">
        <v>1</v>
      </c>
      <c r="H52" s="169"/>
      <c r="I52" s="169"/>
      <c r="J52" s="169"/>
      <c r="K52" s="195">
        <v>0.9849</v>
      </c>
      <c r="L52" s="180">
        <v>1.4</v>
      </c>
      <c r="M52" s="180">
        <v>1.68</v>
      </c>
      <c r="N52" s="180">
        <v>2.23</v>
      </c>
      <c r="O52" s="181">
        <v>2.57</v>
      </c>
      <c r="P52" s="182">
        <v>1</v>
      </c>
      <c r="Q52" s="196">
        <f>(P52*$E52*$F52*((1-$K52)+$K52*$L52*$Q$12*$G52))</f>
        <v>55294.907195860003</v>
      </c>
      <c r="R52" s="196"/>
      <c r="S52" s="196">
        <f>(R52*$E52*$F52*((1-$K52)+$K52*$L52*$S$12*$G52))</f>
        <v>0</v>
      </c>
      <c r="T52" s="182">
        <v>12</v>
      </c>
      <c r="U52" s="196">
        <f t="shared" ref="U52:U54" si="135">(T52/12*11*$E52*$F52*((1-$K52)+$K52*$L52*U$12*$G52))+(T52/12*1*$E52*$F52*((1-$K52)+$K52*$L52*U$14*$G52))</f>
        <v>760595.42772938975</v>
      </c>
      <c r="V52" s="182"/>
      <c r="W52" s="196">
        <f>(V52*$E52*$F52*((1-$K52)+$K52*$L52*$W$12*$G52))</f>
        <v>0</v>
      </c>
      <c r="X52" s="196"/>
      <c r="Y52" s="196">
        <v>0</v>
      </c>
      <c r="Z52" s="196"/>
      <c r="AA52" s="196"/>
      <c r="AB52" s="182">
        <f t="shared" si="132"/>
        <v>0</v>
      </c>
      <c r="AC52" s="182">
        <f t="shared" si="132"/>
        <v>0</v>
      </c>
      <c r="AD52" s="182">
        <v>80</v>
      </c>
      <c r="AE52" s="196">
        <f>(AD52*$E52*$F52*((1-$K52)+$K52*$L52*$AE$12*$G52))</f>
        <v>4423592.5756688006</v>
      </c>
      <c r="AF52" s="182"/>
      <c r="AG52" s="182"/>
      <c r="AH52" s="182"/>
      <c r="AI52" s="196">
        <f t="shared" ref="AI52:AI54" si="136">(AH52*$E52*$F52*((1-$K52)+$K52*$L52*AI$12*$G52))</f>
        <v>0</v>
      </c>
      <c r="AJ52" s="182"/>
      <c r="AK52" s="182"/>
      <c r="AL52" s="182"/>
      <c r="AM52" s="182"/>
      <c r="AN52" s="182"/>
      <c r="AO52" s="196">
        <f t="shared" si="133"/>
        <v>0</v>
      </c>
      <c r="AP52" s="182">
        <f>4-2</f>
        <v>2</v>
      </c>
      <c r="AQ52" s="196">
        <f t="shared" ref="AQ52:AQ54" si="137">(AP52*$E52*$F52*((1-$K52)+$K52*$G52*AQ$12*$L52))</f>
        <v>110589.81439171998</v>
      </c>
      <c r="AR52" s="182">
        <v>100</v>
      </c>
      <c r="AS52" s="196">
        <f t="shared" ref="AS52:AS54" si="138">(AR52*$E52*$F52*((1-$K52)+$K52*$G52*AS$12*$L52))/12*10+(AR52*$E52*$F52*((1-$K52)+$K52*$G52*AS$13*$L52))/12*1+(AR52*$E52*$F52*((1-$K52)+$K52*$G52*AS$14*$L52*$AS$15))/12*1</f>
        <v>5964917.8868498774</v>
      </c>
      <c r="AT52" s="182"/>
      <c r="AU52" s="196">
        <f t="shared" ref="AU52:AU54" si="139">(AT52*$E52*$F52*((1-$K52)+$K52*$G52*AU$12*$M52))/12*10+(AT52*$E52*$F52*((1-$K52)+$K52*$G52*AU$13*$M52))/12*2</f>
        <v>0</v>
      </c>
      <c r="AV52" s="188"/>
      <c r="AW52" s="182"/>
      <c r="AX52" s="182">
        <v>2</v>
      </c>
      <c r="AY52" s="196">
        <f t="shared" ref="AY52:AY54" si="140">(AX52*$E52*$F52*((1-$K52)+$K52*$G52*AY$12*$M52))</f>
        <v>132489.751933664</v>
      </c>
      <c r="AZ52" s="182"/>
      <c r="BA52" s="182"/>
      <c r="BB52" s="182"/>
      <c r="BC52" s="182"/>
      <c r="BD52" s="182"/>
      <c r="BE52" s="182"/>
      <c r="BF52" s="182"/>
      <c r="BG52" s="182"/>
      <c r="BH52" s="182"/>
      <c r="BI52" s="182"/>
      <c r="BJ52" s="182"/>
      <c r="BK52" s="182"/>
      <c r="BL52" s="182">
        <v>3</v>
      </c>
      <c r="BM52" s="196">
        <f t="shared" ref="BM52:BM53" si="141">(BL52/12*11*$E52*$F52*((1-$K52)+$K52*$G52*BM$12*$L52))+(BL52/12*$E52*$F52*((1-$K52)+$K52*$G52*BM$12*$L52*$BM$15))</f>
        <v>210064.56058782068</v>
      </c>
      <c r="BN52" s="182"/>
      <c r="BO52" s="196">
        <f t="shared" ref="BO52:BO54" si="142">(BN52*$E52*$F52*((1-$K52)+$K52*$M52*$G52*$BO$12))</f>
        <v>0</v>
      </c>
      <c r="BP52" s="182"/>
      <c r="BQ52" s="196">
        <f t="shared" ref="BQ52:BQ54" si="143">(BP52/12*11*$E52*$F52*((1-$K52)+$K52*$G52*BQ$12*$M52))+(BP52/12*$E52*$F52*((1-$K52)+$K52*$G52*BQ$12*$M52*BQ$15))</f>
        <v>0</v>
      </c>
      <c r="BR52" s="182"/>
      <c r="BS52" s="182"/>
      <c r="BT52" s="182"/>
      <c r="BU52" s="196">
        <f t="shared" ref="BU52:BU54" si="144">(BT52*$E52*$F52*((1-$K52)+$K52*$G52*BU$12*$M52))/12*10+(BT52*$E52*$F52*((1-$K52)+$K52*$G52*BU$13*$M52))/12*2</f>
        <v>0</v>
      </c>
      <c r="BV52" s="182">
        <v>5</v>
      </c>
      <c r="BW52" s="196">
        <f t="shared" ref="BW52:BW54" si="145">(BV52*$E52*$F52*((1-$K52)+$K52*$G52*BW$12*$M52))</f>
        <v>271497.27744704002</v>
      </c>
      <c r="BX52" s="182">
        <v>1</v>
      </c>
      <c r="BY52" s="196">
        <f>(BX52*$E52*$F52*((1-$K52)+$K52*$G52*BY$12*$M52))/12*11+(BX52*$E52*$F52*((1-$K52)+$K52*$G52*BY$12*$M52*$BY$15))/12</f>
        <v>81097.811788460982</v>
      </c>
      <c r="BZ52" s="182">
        <v>1</v>
      </c>
      <c r="CA52" s="196">
        <f t="shared" ref="CA52:CA53" si="146">(BZ52*$E52*$F52*((1-$K52)+$K52*$G52*CA$12*$M52))/12*11+(BZ52*$E52*$F52*((1-$K52)+$K52*$G52*CA$12*$M52*$CA$15))/12</f>
        <v>78603.906628286786</v>
      </c>
      <c r="CB52" s="182"/>
      <c r="CC52" s="196">
        <f t="shared" ref="CC52:CC54" si="147">(CB52*$E52*$F52*((1-$K52)+$K52*$G52*CC$12*$L52))</f>
        <v>0</v>
      </c>
      <c r="CD52" s="182"/>
      <c r="CE52" s="196">
        <f t="shared" ref="CE52:CE54" si="148">(CD52*$E52*$F52*((1-$K52)+$K52*$G52*CE$12*$L52))</f>
        <v>0</v>
      </c>
      <c r="CF52" s="182"/>
      <c r="CG52" s="182"/>
      <c r="CH52" s="182">
        <v>42</v>
      </c>
      <c r="CI52" s="196">
        <f>(CH52*$E52*$F52*((1-$K52)+$K52*$G52*CI$12*$M52))/12*11+(CH52*$E52*$F52*((1-$K52)+$K52*$G52*CI$12*$M52*$CI$15))/12</f>
        <v>2818495.5409711828</v>
      </c>
      <c r="CJ52" s="182"/>
      <c r="CK52" s="182"/>
      <c r="CL52" s="182"/>
      <c r="CM52" s="182"/>
      <c r="CN52" s="182">
        <v>6</v>
      </c>
      <c r="CO52" s="196">
        <f t="shared" ref="CO52:CO54" si="149">(CN52*$E52*$F52*((1-$K52)+$K52*$G52*CO$12*$L52))</f>
        <v>242178.78959447998</v>
      </c>
      <c r="CP52" s="182">
        <v>23</v>
      </c>
      <c r="CQ52" s="196">
        <f>(CP52*$E52*$F52*((1-$K52)+$K52*$G52*CQ$12*$L52))/12*11+(CP52*$E52*$F52*((1-$K52)+$K52*$G52*CQ$12*$L52*$CQ$15))/12</f>
        <v>1281307.3474321128</v>
      </c>
      <c r="CR52" s="182"/>
      <c r="CS52" s="196">
        <f t="shared" ref="CS52:CS54" si="150">(CR52*$E52*$F52*((1-$K52)+$K52*$G52*CS$12*$L52))/12*10+(CR52*$E52*$F52*((1-$K52)+$K52*$G52*CS$13*$L52))/12*2</f>
        <v>0</v>
      </c>
      <c r="CT52" s="182"/>
      <c r="CU52" s="206">
        <f>CT52*$E52*$F52*((1-$K52)+$K52*$L52*$CU$12*$G52)</f>
        <v>0</v>
      </c>
      <c r="CV52" s="182"/>
      <c r="CW52" s="196">
        <v>0</v>
      </c>
      <c r="CX52" s="182"/>
      <c r="CY52" s="196">
        <f t="shared" ref="CY52:CY54" si="151">(CX52*$E52*$F52*((1-$K52)+$K52*$G52*CY$12*$M52))</f>
        <v>0</v>
      </c>
      <c r="CZ52" s="182"/>
      <c r="DA52" s="196">
        <v>0</v>
      </c>
      <c r="DB52" s="188">
        <v>10</v>
      </c>
      <c r="DC52" s="196">
        <f t="shared" ref="DC52:DC54" si="152">(DB52*$E52*$F52*((1-$K52)+$K52*$G52*DC$12*$M52))</f>
        <v>542994.55489408004</v>
      </c>
      <c r="DD52" s="182"/>
      <c r="DE52" s="187"/>
      <c r="DF52" s="182"/>
      <c r="DG52" s="182"/>
      <c r="DH52" s="189">
        <f>ROUND(1*0.75,0)</f>
        <v>1</v>
      </c>
      <c r="DI52" s="196">
        <f>((DH52*$E52*$F52*((1-$K52)+$K52*$G52*DI$12*$M52)))</f>
        <v>60272.165728119988</v>
      </c>
      <c r="DJ52" s="182">
        <v>10</v>
      </c>
      <c r="DK52" s="196">
        <f>(DJ52*$E52*$F52*((1-$K52)+$K52*$G52*DK$12*$M52))/12*11+(DJ52*$E52*$F52*((1-$K52)+$K52*$G52*DK$12*$M52*$DK$15))/12</f>
        <v>656291.89086391439</v>
      </c>
      <c r="DL52" s="182"/>
      <c r="DM52" s="196">
        <f t="shared" ref="DM52:DM54" si="153">(DL52*$E52*$F52*((1-$K52)+$K52*$G52*DM$12*$N52))</f>
        <v>0</v>
      </c>
      <c r="DN52" s="182"/>
      <c r="DO52" s="196">
        <f t="shared" ref="DO52:DO54" si="154">(DN52*$E52*$F52*((1-$K52)+$K52*$G52*DO$12*$O52))</f>
        <v>0</v>
      </c>
      <c r="DP52" s="187"/>
      <c r="DQ52" s="187"/>
      <c r="DR52" s="183">
        <f t="shared" si="134"/>
        <v>299</v>
      </c>
      <c r="DS52" s="183">
        <f t="shared" si="134"/>
        <v>17690284.209704805</v>
      </c>
      <c r="DT52" s="182">
        <v>299</v>
      </c>
      <c r="DU52" s="182">
        <v>16945626.075268753</v>
      </c>
      <c r="DV52" s="167">
        <f t="shared" si="5"/>
        <v>0</v>
      </c>
      <c r="DW52" s="167">
        <f t="shared" si="5"/>
        <v>744658.13443605229</v>
      </c>
    </row>
    <row r="53" spans="1:127" ht="30" x14ac:dyDescent="0.25">
      <c r="A53" s="154"/>
      <c r="B53" s="177">
        <v>32</v>
      </c>
      <c r="C53" s="177" t="s">
        <v>204</v>
      </c>
      <c r="D53" s="259" t="s">
        <v>205</v>
      </c>
      <c r="E53" s="158">
        <v>25969</v>
      </c>
      <c r="F53" s="257">
        <v>2.1</v>
      </c>
      <c r="G53" s="168">
        <v>1</v>
      </c>
      <c r="H53" s="169"/>
      <c r="I53" s="169"/>
      <c r="J53" s="169"/>
      <c r="K53" s="195">
        <v>0.99039999999999995</v>
      </c>
      <c r="L53" s="180">
        <v>1.4</v>
      </c>
      <c r="M53" s="180">
        <v>1.68</v>
      </c>
      <c r="N53" s="180">
        <v>2.23</v>
      </c>
      <c r="O53" s="181">
        <v>2.57</v>
      </c>
      <c r="P53" s="182"/>
      <c r="Q53" s="196">
        <f>(P53*$E53*$F53*((1-$K53)+$K53*$L53*$Q$12*$G53))</f>
        <v>0</v>
      </c>
      <c r="R53" s="196"/>
      <c r="S53" s="196">
        <f>(R53*$E53*$F53*((1-$K53)+$K53*$L53*$S$12*$G53))</f>
        <v>0</v>
      </c>
      <c r="T53" s="182">
        <v>2</v>
      </c>
      <c r="U53" s="196">
        <f t="shared" si="135"/>
        <v>191977.24521359996</v>
      </c>
      <c r="V53" s="182"/>
      <c r="W53" s="196">
        <f>(V53*$E53*$F53*((1-$K53)+$K53*$L53*$W$12*$G53))</f>
        <v>0</v>
      </c>
      <c r="X53" s="196"/>
      <c r="Y53" s="196">
        <v>0</v>
      </c>
      <c r="Z53" s="196"/>
      <c r="AA53" s="196"/>
      <c r="AB53" s="182">
        <f t="shared" si="132"/>
        <v>0</v>
      </c>
      <c r="AC53" s="182">
        <f t="shared" si="132"/>
        <v>0</v>
      </c>
      <c r="AD53" s="182">
        <v>731</v>
      </c>
      <c r="AE53" s="196">
        <f>(AD53*$E53*$F53*((1-$K53)+$K53*$L53*$AE$12*$G53))</f>
        <v>61185458.104310393</v>
      </c>
      <c r="AF53" s="182"/>
      <c r="AG53" s="182"/>
      <c r="AH53" s="182">
        <v>75</v>
      </c>
      <c r="AI53" s="196">
        <f t="shared" si="136"/>
        <v>6277577.7808799995</v>
      </c>
      <c r="AJ53" s="182"/>
      <c r="AK53" s="182"/>
      <c r="AL53" s="182"/>
      <c r="AM53" s="182"/>
      <c r="AN53" s="182"/>
      <c r="AO53" s="196">
        <f>(AN53*$E53*$F53*((1-$K53)+$K53*$G53*AO$12*$L53))</f>
        <v>0</v>
      </c>
      <c r="AP53" s="182">
        <v>1</v>
      </c>
      <c r="AQ53" s="196">
        <f t="shared" si="137"/>
        <v>83701.037078399997</v>
      </c>
      <c r="AR53" s="182">
        <v>1</v>
      </c>
      <c r="AS53" s="196">
        <f t="shared" si="138"/>
        <v>90316.169020817586</v>
      </c>
      <c r="AT53" s="182"/>
      <c r="AU53" s="196">
        <f t="shared" si="139"/>
        <v>0</v>
      </c>
      <c r="AV53" s="188"/>
      <c r="AW53" s="182"/>
      <c r="AX53" s="182"/>
      <c r="AY53" s="196">
        <f t="shared" si="140"/>
        <v>0</v>
      </c>
      <c r="AZ53" s="182"/>
      <c r="BA53" s="182"/>
      <c r="BB53" s="182"/>
      <c r="BC53" s="182"/>
      <c r="BD53" s="182"/>
      <c r="BE53" s="182"/>
      <c r="BF53" s="182"/>
      <c r="BG53" s="182"/>
      <c r="BH53" s="182"/>
      <c r="BI53" s="182"/>
      <c r="BJ53" s="182"/>
      <c r="BK53" s="182"/>
      <c r="BL53" s="182">
        <v>1</v>
      </c>
      <c r="BM53" s="196">
        <f t="shared" si="141"/>
        <v>106074.12157668881</v>
      </c>
      <c r="BN53" s="182">
        <v>2</v>
      </c>
      <c r="BO53" s="196">
        <f t="shared" si="142"/>
        <v>200673.07497216002</v>
      </c>
      <c r="BP53" s="182"/>
      <c r="BQ53" s="196">
        <f t="shared" si="143"/>
        <v>0</v>
      </c>
      <c r="BR53" s="182"/>
      <c r="BS53" s="182"/>
      <c r="BT53" s="182">
        <v>11</v>
      </c>
      <c r="BU53" s="196">
        <f>(BT53*$E53*$F53*((1-$K53)+$K53*$G53*BU$12*$M53))/12*10+(BT53*$E53*$F53*((1-$K53)+$K53*$G53*BU$13*$M53))/12+(BT53*$E53*$F53*((1-$K53)+$K53*$G53*BU$13*$M53*$BU$15))/12</f>
        <v>1117677.0635293638</v>
      </c>
      <c r="BV53" s="182">
        <v>1</v>
      </c>
      <c r="BW53" s="196">
        <f t="shared" si="145"/>
        <v>82188.718859519999</v>
      </c>
      <c r="BX53" s="182"/>
      <c r="BY53" s="196">
        <f>(BX53*$E53*$F53*((1-$K53)+$K53*$G53*BY$12*$M53))</f>
        <v>0</v>
      </c>
      <c r="BZ53" s="182">
        <v>1</v>
      </c>
      <c r="CA53" s="196">
        <f t="shared" si="146"/>
        <v>119112.72433258466</v>
      </c>
      <c r="CB53" s="182"/>
      <c r="CC53" s="196">
        <f t="shared" si="147"/>
        <v>0</v>
      </c>
      <c r="CD53" s="182">
        <v>95</v>
      </c>
      <c r="CE53" s="196">
        <f t="shared" si="148"/>
        <v>7233247.3684799988</v>
      </c>
      <c r="CF53" s="182"/>
      <c r="CG53" s="182"/>
      <c r="CH53" s="182">
        <v>20</v>
      </c>
      <c r="CI53" s="196">
        <f>(CH53*$E53*$F53*((1-$K53)+$K53*$G53*CI$12*$M53))/12*11+(CH53*$E53*$F53*((1-$K53)+$K53*$G53*CI$12*$M53*$CI$15))/12</f>
        <v>2032927.1259090391</v>
      </c>
      <c r="CJ53" s="182"/>
      <c r="CK53" s="182"/>
      <c r="CL53" s="182"/>
      <c r="CM53" s="182"/>
      <c r="CN53" s="182"/>
      <c r="CO53" s="196">
        <f t="shared" si="149"/>
        <v>0</v>
      </c>
      <c r="CP53" s="182"/>
      <c r="CQ53" s="196">
        <f t="shared" ref="CQ53:CQ54" si="155">(CP53*$E53*$F53*((1-$K53)+$K53*$G53*CQ$12*$L53))</f>
        <v>0</v>
      </c>
      <c r="CR53" s="182"/>
      <c r="CS53" s="196">
        <f t="shared" si="150"/>
        <v>0</v>
      </c>
      <c r="CT53" s="182"/>
      <c r="CU53" s="206">
        <f>CT53*$E53*$F53*((1-$K53)+$K53*$L53*$CU$12*$G53)</f>
        <v>0</v>
      </c>
      <c r="CV53" s="182"/>
      <c r="CW53" s="196">
        <v>0</v>
      </c>
      <c r="CX53" s="182"/>
      <c r="CY53" s="196">
        <f t="shared" si="151"/>
        <v>0</v>
      </c>
      <c r="CZ53" s="182"/>
      <c r="DA53" s="196">
        <v>0</v>
      </c>
      <c r="DB53" s="188"/>
      <c r="DC53" s="196">
        <f t="shared" si="152"/>
        <v>0</v>
      </c>
      <c r="DD53" s="182"/>
      <c r="DE53" s="187"/>
      <c r="DF53" s="182"/>
      <c r="DG53" s="182"/>
      <c r="DH53" s="189">
        <f>ROUND(1*0.75,0)</f>
        <v>1</v>
      </c>
      <c r="DI53" s="196">
        <f>((DH53*$E53*$F53*((1-$K53)+$K53*$G53*DI$12*$M53)))</f>
        <v>91262.628172799989</v>
      </c>
      <c r="DJ53" s="182"/>
      <c r="DK53" s="196">
        <f t="shared" ref="DK53:DK54" si="156">(DJ53*$E53*$F53*((1-$K53)+$K53*$G53*DK$12*$M53))</f>
        <v>0</v>
      </c>
      <c r="DL53" s="182"/>
      <c r="DM53" s="196">
        <f t="shared" si="153"/>
        <v>0</v>
      </c>
      <c r="DN53" s="182">
        <f>ROUND(3*0.75,0)</f>
        <v>2</v>
      </c>
      <c r="DO53" s="196">
        <f t="shared" si="154"/>
        <v>278665.48597439996</v>
      </c>
      <c r="DP53" s="187"/>
      <c r="DQ53" s="187"/>
      <c r="DR53" s="183">
        <f t="shared" si="134"/>
        <v>944</v>
      </c>
      <c r="DS53" s="183">
        <f t="shared" si="134"/>
        <v>79090858.648309752</v>
      </c>
      <c r="DT53" s="182">
        <v>944</v>
      </c>
      <c r="DU53" s="182">
        <v>78772798.295346364</v>
      </c>
      <c r="DV53" s="167">
        <f t="shared" si="5"/>
        <v>0</v>
      </c>
      <c r="DW53" s="167">
        <f t="shared" si="5"/>
        <v>318060.35296338797</v>
      </c>
    </row>
    <row r="54" spans="1:127" ht="30" x14ac:dyDescent="0.25">
      <c r="A54" s="154"/>
      <c r="B54" s="177">
        <v>33</v>
      </c>
      <c r="C54" s="177" t="s">
        <v>206</v>
      </c>
      <c r="D54" s="259" t="s">
        <v>207</v>
      </c>
      <c r="E54" s="158">
        <v>25969</v>
      </c>
      <c r="F54" s="257">
        <v>2.86</v>
      </c>
      <c r="G54" s="168">
        <v>1</v>
      </c>
      <c r="H54" s="169"/>
      <c r="I54" s="169"/>
      <c r="J54" s="169"/>
      <c r="K54" s="195">
        <v>0.98</v>
      </c>
      <c r="L54" s="180">
        <v>1.4</v>
      </c>
      <c r="M54" s="180">
        <v>1.68</v>
      </c>
      <c r="N54" s="180">
        <v>2.23</v>
      </c>
      <c r="O54" s="181">
        <v>2.57</v>
      </c>
      <c r="P54" s="182">
        <v>0</v>
      </c>
      <c r="Q54" s="196">
        <f>(P54*$E54*$F54*((1-$K54)+$K54*$L54*$Q$12*$G54))</f>
        <v>0</v>
      </c>
      <c r="R54" s="196"/>
      <c r="S54" s="196">
        <f>(R54*$E54*$F54*((1-$K54)+$K54*$L54*$S$12*$G54))</f>
        <v>0</v>
      </c>
      <c r="T54" s="196"/>
      <c r="U54" s="196">
        <f t="shared" si="135"/>
        <v>0</v>
      </c>
      <c r="V54" s="182"/>
      <c r="W54" s="196">
        <f>(V54*$E54*$F54*((1-$K54)+$K54*$L54*$W$12*$G54))</f>
        <v>0</v>
      </c>
      <c r="X54" s="196"/>
      <c r="Y54" s="196">
        <v>0</v>
      </c>
      <c r="Z54" s="196"/>
      <c r="AA54" s="196"/>
      <c r="AB54" s="182">
        <f t="shared" si="132"/>
        <v>0</v>
      </c>
      <c r="AC54" s="182">
        <f t="shared" si="132"/>
        <v>0</v>
      </c>
      <c r="AD54" s="182">
        <v>117</v>
      </c>
      <c r="AE54" s="196">
        <f>(AD54*$E54*$F54*((1-$K54)+$K54*$L54*$AE$12*$G54))</f>
        <v>13288360.775976</v>
      </c>
      <c r="AF54" s="182"/>
      <c r="AG54" s="182"/>
      <c r="AH54" s="182"/>
      <c r="AI54" s="196">
        <f t="shared" si="136"/>
        <v>0</v>
      </c>
      <c r="AJ54" s="182"/>
      <c r="AK54" s="182"/>
      <c r="AL54" s="182"/>
      <c r="AM54" s="182"/>
      <c r="AN54" s="182"/>
      <c r="AO54" s="196">
        <f t="shared" si="133"/>
        <v>0</v>
      </c>
      <c r="AP54" s="182"/>
      <c r="AQ54" s="196">
        <f t="shared" si="137"/>
        <v>0</v>
      </c>
      <c r="AR54" s="182"/>
      <c r="AS54" s="196">
        <f t="shared" si="138"/>
        <v>0</v>
      </c>
      <c r="AT54" s="182"/>
      <c r="AU54" s="196">
        <f t="shared" si="139"/>
        <v>0</v>
      </c>
      <c r="AV54" s="188"/>
      <c r="AW54" s="182"/>
      <c r="AX54" s="182"/>
      <c r="AY54" s="196">
        <f t="shared" si="140"/>
        <v>0</v>
      </c>
      <c r="AZ54" s="182"/>
      <c r="BA54" s="182"/>
      <c r="BB54" s="182"/>
      <c r="BC54" s="182"/>
      <c r="BD54" s="182"/>
      <c r="BE54" s="182"/>
      <c r="BF54" s="182"/>
      <c r="BG54" s="182"/>
      <c r="BH54" s="182"/>
      <c r="BI54" s="182"/>
      <c r="BJ54" s="182"/>
      <c r="BK54" s="182"/>
      <c r="BL54" s="182"/>
      <c r="BM54" s="196">
        <f t="shared" ref="BM54" si="157">(BL54*$E54*$F54*((1-$K54)+$K54*$G54*BM$12*$L54))</f>
        <v>0</v>
      </c>
      <c r="BN54" s="182"/>
      <c r="BO54" s="196">
        <f t="shared" si="142"/>
        <v>0</v>
      </c>
      <c r="BP54" s="182"/>
      <c r="BQ54" s="196">
        <f t="shared" si="143"/>
        <v>0</v>
      </c>
      <c r="BR54" s="182"/>
      <c r="BS54" s="182"/>
      <c r="BT54" s="182"/>
      <c r="BU54" s="196">
        <f t="shared" si="144"/>
        <v>0</v>
      </c>
      <c r="BV54" s="182"/>
      <c r="BW54" s="196">
        <f t="shared" si="145"/>
        <v>0</v>
      </c>
      <c r="BX54" s="182"/>
      <c r="BY54" s="196">
        <f t="shared" ref="BY54" si="158">(BX54*$E54*$F54*((1-$K54)+$K54*$G54*BY$12*$M54))</f>
        <v>0</v>
      </c>
      <c r="BZ54" s="182"/>
      <c r="CA54" s="196">
        <f t="shared" ref="CA54" si="159">(BZ54*$E54*$F54*((1-$K54)+$K54*$G54*CA$12*$M54))</f>
        <v>0</v>
      </c>
      <c r="CB54" s="182"/>
      <c r="CC54" s="196">
        <f t="shared" si="147"/>
        <v>0</v>
      </c>
      <c r="CD54" s="182"/>
      <c r="CE54" s="196">
        <f t="shared" si="148"/>
        <v>0</v>
      </c>
      <c r="CF54" s="182"/>
      <c r="CG54" s="182"/>
      <c r="CH54" s="182"/>
      <c r="CI54" s="196">
        <f t="shared" ref="CI54" si="160">(CH54*$E54*$F54*((1-$K54)+$K54*$G54*CI$12*$M54))</f>
        <v>0</v>
      </c>
      <c r="CJ54" s="182"/>
      <c r="CK54" s="182"/>
      <c r="CL54" s="182"/>
      <c r="CM54" s="182"/>
      <c r="CN54" s="182"/>
      <c r="CO54" s="196">
        <f t="shared" si="149"/>
        <v>0</v>
      </c>
      <c r="CP54" s="182"/>
      <c r="CQ54" s="196">
        <f t="shared" si="155"/>
        <v>0</v>
      </c>
      <c r="CR54" s="182"/>
      <c r="CS54" s="196">
        <f t="shared" si="150"/>
        <v>0</v>
      </c>
      <c r="CT54" s="182"/>
      <c r="CU54" s="206">
        <f>CT54*$E54*$F54*((1-$K54)+$K54*$L54*$CU$12*$G54)</f>
        <v>0</v>
      </c>
      <c r="CV54" s="182"/>
      <c r="CW54" s="196">
        <v>0</v>
      </c>
      <c r="CX54" s="182"/>
      <c r="CY54" s="196">
        <f t="shared" si="151"/>
        <v>0</v>
      </c>
      <c r="CZ54" s="182"/>
      <c r="DA54" s="196">
        <v>0</v>
      </c>
      <c r="DB54" s="188"/>
      <c r="DC54" s="196">
        <f t="shared" si="152"/>
        <v>0</v>
      </c>
      <c r="DD54" s="182"/>
      <c r="DE54" s="187"/>
      <c r="DF54" s="182"/>
      <c r="DG54" s="182"/>
      <c r="DH54" s="182"/>
      <c r="DI54" s="196">
        <f t="shared" ref="DI54" si="161">(DH54*$E54*$F54*((1-$K54)+$K54*$G54*DI$12*$M54))</f>
        <v>0</v>
      </c>
      <c r="DJ54" s="182"/>
      <c r="DK54" s="196">
        <f t="shared" si="156"/>
        <v>0</v>
      </c>
      <c r="DL54" s="182"/>
      <c r="DM54" s="196">
        <f t="shared" si="153"/>
        <v>0</v>
      </c>
      <c r="DN54" s="182"/>
      <c r="DO54" s="196">
        <f t="shared" si="154"/>
        <v>0</v>
      </c>
      <c r="DP54" s="187"/>
      <c r="DQ54" s="187"/>
      <c r="DR54" s="183">
        <f t="shared" si="134"/>
        <v>117</v>
      </c>
      <c r="DS54" s="183">
        <f t="shared" si="134"/>
        <v>13288360.775976</v>
      </c>
      <c r="DT54" s="182">
        <v>117</v>
      </c>
      <c r="DU54" s="182">
        <v>13288360.775976</v>
      </c>
      <c r="DV54" s="167">
        <f t="shared" si="5"/>
        <v>0</v>
      </c>
      <c r="DW54" s="167">
        <f t="shared" si="5"/>
        <v>0</v>
      </c>
    </row>
    <row r="55" spans="1:127" ht="15.75" customHeight="1" x14ac:dyDescent="0.25">
      <c r="A55" s="170">
        <v>7</v>
      </c>
      <c r="B55" s="197"/>
      <c r="C55" s="198"/>
      <c r="D55" s="157" t="s">
        <v>208</v>
      </c>
      <c r="E55" s="158">
        <v>25969</v>
      </c>
      <c r="F55" s="199">
        <v>1.84</v>
      </c>
      <c r="G55" s="171"/>
      <c r="H55" s="169"/>
      <c r="I55" s="169"/>
      <c r="J55" s="169"/>
      <c r="K55" s="173"/>
      <c r="L55" s="174">
        <v>1.4</v>
      </c>
      <c r="M55" s="174">
        <v>1.68</v>
      </c>
      <c r="N55" s="174">
        <v>2.23</v>
      </c>
      <c r="O55" s="175">
        <v>2.57</v>
      </c>
      <c r="P55" s="166">
        <f t="shared" ref="P55:CA55" si="162">SUM(P56)</f>
        <v>0</v>
      </c>
      <c r="Q55" s="166">
        <f t="shared" si="162"/>
        <v>0</v>
      </c>
      <c r="R55" s="166">
        <f t="shared" si="162"/>
        <v>0</v>
      </c>
      <c r="S55" s="166">
        <f t="shared" si="162"/>
        <v>0</v>
      </c>
      <c r="T55" s="166">
        <f t="shared" si="162"/>
        <v>66</v>
      </c>
      <c r="U55" s="166">
        <f t="shared" si="162"/>
        <v>5574121.1987999994</v>
      </c>
      <c r="V55" s="166">
        <f t="shared" si="162"/>
        <v>20</v>
      </c>
      <c r="W55" s="166">
        <f t="shared" si="162"/>
        <v>1701513.2340744534</v>
      </c>
      <c r="X55" s="166">
        <v>0</v>
      </c>
      <c r="Y55" s="166">
        <v>0</v>
      </c>
      <c r="Z55" s="166">
        <v>0</v>
      </c>
      <c r="AA55" s="166">
        <v>0</v>
      </c>
      <c r="AB55" s="166">
        <f t="shared" si="162"/>
        <v>0</v>
      </c>
      <c r="AC55" s="166">
        <f t="shared" si="162"/>
        <v>0</v>
      </c>
      <c r="AD55" s="166">
        <f t="shared" si="162"/>
        <v>0</v>
      </c>
      <c r="AE55" s="166">
        <f t="shared" si="162"/>
        <v>0</v>
      </c>
      <c r="AF55" s="166">
        <f t="shared" si="162"/>
        <v>0</v>
      </c>
      <c r="AG55" s="166">
        <f t="shared" si="162"/>
        <v>0</v>
      </c>
      <c r="AH55" s="166">
        <f t="shared" si="162"/>
        <v>0</v>
      </c>
      <c r="AI55" s="166">
        <f t="shared" si="162"/>
        <v>0</v>
      </c>
      <c r="AJ55" s="166">
        <f>SUM(AJ56)</f>
        <v>0</v>
      </c>
      <c r="AK55" s="166">
        <f>SUM(AK56)</f>
        <v>0</v>
      </c>
      <c r="AL55" s="166">
        <f t="shared" si="162"/>
        <v>0</v>
      </c>
      <c r="AM55" s="166">
        <f t="shared" si="162"/>
        <v>0</v>
      </c>
      <c r="AN55" s="166">
        <f t="shared" si="162"/>
        <v>0</v>
      </c>
      <c r="AO55" s="166">
        <f t="shared" si="162"/>
        <v>0</v>
      </c>
      <c r="AP55" s="166">
        <f t="shared" si="162"/>
        <v>0</v>
      </c>
      <c r="AQ55" s="166">
        <f t="shared" si="162"/>
        <v>0</v>
      </c>
      <c r="AR55" s="166">
        <f t="shared" si="162"/>
        <v>0</v>
      </c>
      <c r="AS55" s="166">
        <f t="shared" si="162"/>
        <v>0</v>
      </c>
      <c r="AT55" s="166">
        <f t="shared" si="162"/>
        <v>4</v>
      </c>
      <c r="AU55" s="166">
        <f t="shared" si="162"/>
        <v>370037.19790813443</v>
      </c>
      <c r="AV55" s="166">
        <f t="shared" si="162"/>
        <v>0</v>
      </c>
      <c r="AW55" s="166">
        <f t="shared" si="162"/>
        <v>0</v>
      </c>
      <c r="AX55" s="166">
        <f t="shared" si="162"/>
        <v>0</v>
      </c>
      <c r="AY55" s="166">
        <f t="shared" si="162"/>
        <v>0</v>
      </c>
      <c r="AZ55" s="166">
        <f t="shared" si="162"/>
        <v>0</v>
      </c>
      <c r="BA55" s="166">
        <f t="shared" si="162"/>
        <v>0</v>
      </c>
      <c r="BB55" s="166">
        <f t="shared" si="162"/>
        <v>0</v>
      </c>
      <c r="BC55" s="166">
        <f t="shared" si="162"/>
        <v>0</v>
      </c>
      <c r="BD55" s="166">
        <f t="shared" si="162"/>
        <v>0</v>
      </c>
      <c r="BE55" s="166">
        <f t="shared" si="162"/>
        <v>0</v>
      </c>
      <c r="BF55" s="166">
        <f t="shared" si="162"/>
        <v>0</v>
      </c>
      <c r="BG55" s="166">
        <f t="shared" si="162"/>
        <v>0</v>
      </c>
      <c r="BH55" s="166">
        <f t="shared" si="162"/>
        <v>0</v>
      </c>
      <c r="BI55" s="166">
        <f t="shared" si="162"/>
        <v>0</v>
      </c>
      <c r="BJ55" s="166">
        <f t="shared" si="162"/>
        <v>0</v>
      </c>
      <c r="BK55" s="166">
        <f t="shared" si="162"/>
        <v>0</v>
      </c>
      <c r="BL55" s="166">
        <f t="shared" si="162"/>
        <v>0</v>
      </c>
      <c r="BM55" s="166">
        <f t="shared" si="162"/>
        <v>0</v>
      </c>
      <c r="BN55" s="166">
        <f t="shared" si="162"/>
        <v>0</v>
      </c>
      <c r="BO55" s="166">
        <f t="shared" si="162"/>
        <v>0</v>
      </c>
      <c r="BP55" s="166">
        <f t="shared" si="162"/>
        <v>11</v>
      </c>
      <c r="BQ55" s="166">
        <f t="shared" si="162"/>
        <v>949670.57117979194</v>
      </c>
      <c r="BR55" s="166">
        <f t="shared" si="162"/>
        <v>0</v>
      </c>
      <c r="BS55" s="166">
        <f t="shared" si="162"/>
        <v>0</v>
      </c>
      <c r="BT55" s="166">
        <f t="shared" si="162"/>
        <v>0</v>
      </c>
      <c r="BU55" s="166">
        <f t="shared" si="162"/>
        <v>0</v>
      </c>
      <c r="BV55" s="166">
        <f t="shared" si="162"/>
        <v>0</v>
      </c>
      <c r="BW55" s="166">
        <f t="shared" si="162"/>
        <v>0</v>
      </c>
      <c r="BX55" s="166">
        <f t="shared" si="162"/>
        <v>2</v>
      </c>
      <c r="BY55" s="166">
        <f t="shared" si="162"/>
        <v>216531.57957580799</v>
      </c>
      <c r="BZ55" s="166">
        <f t="shared" si="162"/>
        <v>1</v>
      </c>
      <c r="CA55" s="166">
        <f t="shared" si="162"/>
        <v>104913.89159663999</v>
      </c>
      <c r="CB55" s="166">
        <f t="shared" ref="CB55:DQ55" si="163">SUM(CB56)</f>
        <v>0</v>
      </c>
      <c r="CC55" s="166">
        <f t="shared" si="163"/>
        <v>0</v>
      </c>
      <c r="CD55" s="166">
        <f t="shared" si="163"/>
        <v>0</v>
      </c>
      <c r="CE55" s="166">
        <f t="shared" si="163"/>
        <v>0</v>
      </c>
      <c r="CF55" s="166">
        <f t="shared" si="163"/>
        <v>0</v>
      </c>
      <c r="CG55" s="166">
        <f t="shared" si="163"/>
        <v>0</v>
      </c>
      <c r="CH55" s="166">
        <f t="shared" si="163"/>
        <v>1</v>
      </c>
      <c r="CI55" s="166">
        <f t="shared" si="163"/>
        <v>89461.685086367987</v>
      </c>
      <c r="CJ55" s="166">
        <f t="shared" si="163"/>
        <v>0</v>
      </c>
      <c r="CK55" s="166">
        <f t="shared" si="163"/>
        <v>0</v>
      </c>
      <c r="CL55" s="166">
        <f t="shared" si="163"/>
        <v>0</v>
      </c>
      <c r="CM55" s="166">
        <f t="shared" si="163"/>
        <v>0</v>
      </c>
      <c r="CN55" s="166">
        <f t="shared" si="163"/>
        <v>0</v>
      </c>
      <c r="CO55" s="166">
        <f t="shared" si="163"/>
        <v>0</v>
      </c>
      <c r="CP55" s="166">
        <f t="shared" si="163"/>
        <v>0</v>
      </c>
      <c r="CQ55" s="166">
        <f t="shared" si="163"/>
        <v>0</v>
      </c>
      <c r="CR55" s="166">
        <f t="shared" si="163"/>
        <v>0</v>
      </c>
      <c r="CS55" s="166">
        <f t="shared" si="163"/>
        <v>0</v>
      </c>
      <c r="CT55" s="166">
        <f t="shared" si="163"/>
        <v>0</v>
      </c>
      <c r="CU55" s="166">
        <f t="shared" si="163"/>
        <v>0</v>
      </c>
      <c r="CV55" s="166">
        <f t="shared" si="163"/>
        <v>0</v>
      </c>
      <c r="CW55" s="166">
        <v>0</v>
      </c>
      <c r="CX55" s="166">
        <f t="shared" si="163"/>
        <v>1</v>
      </c>
      <c r="CY55" s="166">
        <f t="shared" si="163"/>
        <v>86632.37957203199</v>
      </c>
      <c r="CZ55" s="166">
        <f t="shared" si="163"/>
        <v>0</v>
      </c>
      <c r="DA55" s="166">
        <v>0</v>
      </c>
      <c r="DB55" s="166">
        <f t="shared" si="163"/>
        <v>0</v>
      </c>
      <c r="DC55" s="166">
        <f t="shared" si="163"/>
        <v>0</v>
      </c>
      <c r="DD55" s="166">
        <f t="shared" si="163"/>
        <v>0</v>
      </c>
      <c r="DE55" s="166">
        <f t="shared" si="163"/>
        <v>0</v>
      </c>
      <c r="DF55" s="166">
        <f t="shared" si="163"/>
        <v>0</v>
      </c>
      <c r="DG55" s="166">
        <f t="shared" si="163"/>
        <v>0</v>
      </c>
      <c r="DH55" s="166">
        <f t="shared" si="163"/>
        <v>0</v>
      </c>
      <c r="DI55" s="166">
        <f t="shared" si="163"/>
        <v>0</v>
      </c>
      <c r="DJ55" s="166">
        <f t="shared" si="163"/>
        <v>1</v>
      </c>
      <c r="DK55" s="166">
        <f t="shared" si="163"/>
        <v>87475.404778719996</v>
      </c>
      <c r="DL55" s="166">
        <f t="shared" si="163"/>
        <v>0</v>
      </c>
      <c r="DM55" s="166">
        <f t="shared" si="163"/>
        <v>0</v>
      </c>
      <c r="DN55" s="166">
        <f t="shared" si="163"/>
        <v>0</v>
      </c>
      <c r="DO55" s="166">
        <f t="shared" si="163"/>
        <v>0</v>
      </c>
      <c r="DP55" s="166">
        <f t="shared" si="163"/>
        <v>0</v>
      </c>
      <c r="DQ55" s="166">
        <f t="shared" si="163"/>
        <v>0</v>
      </c>
      <c r="DR55" s="166">
        <f>SUM(DR56)</f>
        <v>107</v>
      </c>
      <c r="DS55" s="166">
        <f t="shared" ref="DS55" si="164">SUM(DS56)</f>
        <v>9180357.1425719466</v>
      </c>
      <c r="DT55" s="166">
        <v>107</v>
      </c>
      <c r="DU55" s="166">
        <v>8987719.9335466661</v>
      </c>
      <c r="DV55" s="167">
        <f t="shared" si="5"/>
        <v>0</v>
      </c>
      <c r="DW55" s="167">
        <f t="shared" si="5"/>
        <v>192637.20902528055</v>
      </c>
    </row>
    <row r="56" spans="1:127" ht="30" customHeight="1" x14ac:dyDescent="0.25">
      <c r="A56" s="154"/>
      <c r="B56" s="176">
        <v>34</v>
      </c>
      <c r="C56" s="177" t="s">
        <v>209</v>
      </c>
      <c r="D56" s="178" t="s">
        <v>210</v>
      </c>
      <c r="E56" s="158">
        <v>25969</v>
      </c>
      <c r="F56" s="179">
        <v>1.84</v>
      </c>
      <c r="G56" s="168">
        <v>1</v>
      </c>
      <c r="H56" s="169"/>
      <c r="I56" s="169"/>
      <c r="J56" s="169"/>
      <c r="K56" s="106"/>
      <c r="L56" s="180">
        <v>1.4</v>
      </c>
      <c r="M56" s="180">
        <v>1.68</v>
      </c>
      <c r="N56" s="180">
        <v>2.23</v>
      </c>
      <c r="O56" s="181">
        <v>2.57</v>
      </c>
      <c r="P56" s="182"/>
      <c r="Q56" s="182">
        <f>(P56*$E56*$F56*$G56*$L56*$Q$12)</f>
        <v>0</v>
      </c>
      <c r="R56" s="182"/>
      <c r="S56" s="182">
        <f>(R56*$E56*$F56*$G56*$L56*$S$12)</f>
        <v>0</v>
      </c>
      <c r="T56" s="182">
        <f>58+8</f>
        <v>66</v>
      </c>
      <c r="U56" s="182">
        <f t="shared" ref="U56" si="165">(T56/12*11*$E56*$F56*$G56*$L56*$U$12)+(T56/12*1*$E56*$F56*$G56*$L56*$U$14)</f>
        <v>5574121.1987999994</v>
      </c>
      <c r="V56" s="182">
        <v>20</v>
      </c>
      <c r="W56" s="183">
        <f>(V56*$E56*$F56*$G56*$L56*$W$12)/12*10+(V56*$E56*$F56*$G56*$L56*$W$13)/12*1+(V56*$E56*$F56*$G56*$L56*$W$14*$W$15)/12*1</f>
        <v>1701513.2340744534</v>
      </c>
      <c r="X56" s="183"/>
      <c r="Y56" s="183">
        <v>0</v>
      </c>
      <c r="Z56" s="183"/>
      <c r="AA56" s="183">
        <v>0</v>
      </c>
      <c r="AB56" s="182">
        <f>X56+Z56</f>
        <v>0</v>
      </c>
      <c r="AC56" s="182">
        <f>Y56+AA56</f>
        <v>0</v>
      </c>
      <c r="AD56" s="182"/>
      <c r="AE56" s="182">
        <f>(AD56*$E56*$F56*$G56*$L56*$AE$12)</f>
        <v>0</v>
      </c>
      <c r="AF56" s="182"/>
      <c r="AG56" s="182"/>
      <c r="AH56" s="182"/>
      <c r="AI56" s="182">
        <f>(AH56*$E56*$F56*$G56*$L56*$AI$12)</f>
        <v>0</v>
      </c>
      <c r="AJ56" s="182"/>
      <c r="AK56" s="182"/>
      <c r="AL56" s="182"/>
      <c r="AM56" s="182"/>
      <c r="AN56" s="184"/>
      <c r="AO56" s="182">
        <f>(AN56*$E56*$F56*$G56*$L56*$AO$12)</f>
        <v>0</v>
      </c>
      <c r="AP56" s="182"/>
      <c r="AQ56" s="183">
        <f>(AP56*$E56*$F56*$G56*$L56*$AQ$12)</f>
        <v>0</v>
      </c>
      <c r="AR56" s="182"/>
      <c r="AS56" s="182">
        <f>(AR56*$E56*$F56*$G56*$L56*$AS$12)/12*10+(AR56*$E56*$F56*$G56*$L56*$AS$13)/12*1+(AR56*$E56*$F56*$G56*$L56*$AS$14)/12*1</f>
        <v>0</v>
      </c>
      <c r="AT56" s="182">
        <v>4</v>
      </c>
      <c r="AU56" s="182">
        <f>(AT56*$E56*$F56*$G56*$M56*$AU$12)/12*10+(AT56*$E56*$F56*$G56*$M56*$AU$13)/12+(AT56*$E56*$F56*$G56*$M56*$AU$14*$AU$15)/12</f>
        <v>370037.19790813443</v>
      </c>
      <c r="AV56" s="188"/>
      <c r="AW56" s="182">
        <f>(AV56*$E56*$F56*$G56*$M56*$AW$12)</f>
        <v>0</v>
      </c>
      <c r="AX56" s="182"/>
      <c r="AY56" s="187">
        <f>(AX56*$E56*$F56*$G56*$M56*$AY$12)</f>
        <v>0</v>
      </c>
      <c r="AZ56" s="182"/>
      <c r="BA56" s="182">
        <f>(AZ56*$E56*$F56*$G56*$L56*$BA$12)</f>
        <v>0</v>
      </c>
      <c r="BB56" s="182"/>
      <c r="BC56" s="182">
        <f>(BB56*$E56*$F56*$G56*$L56*$BC$12)</f>
        <v>0</v>
      </c>
      <c r="BD56" s="182"/>
      <c r="BE56" s="182">
        <f>(BD56*$E56*$F56*$G56*$L56*$BE$12)</f>
        <v>0</v>
      </c>
      <c r="BF56" s="182"/>
      <c r="BG56" s="182">
        <f>(BF56*$E56*$F56*$G56*$L56*$BG$12)</f>
        <v>0</v>
      </c>
      <c r="BH56" s="182"/>
      <c r="BI56" s="183">
        <f>(BH56*$E56*$F56*$G56*$L56*$BI$12)</f>
        <v>0</v>
      </c>
      <c r="BJ56" s="182"/>
      <c r="BK56" s="183">
        <f>(BJ56*$E56*$F56*$G56*$L56*$BK$12)</f>
        <v>0</v>
      </c>
      <c r="BL56" s="182"/>
      <c r="BM56" s="182">
        <f>(BL56*$E56*$F56*$G56*$L56*$BM$12)</f>
        <v>0</v>
      </c>
      <c r="BN56" s="182"/>
      <c r="BO56" s="182">
        <f>(BN56*$E56*$F56*$G56*$M56*$BO$12)</f>
        <v>0</v>
      </c>
      <c r="BP56" s="182">
        <v>11</v>
      </c>
      <c r="BQ56" s="182">
        <f t="shared" ref="BQ56" si="166">(BP56/12*11*$E56*$F56*$G56*$M56*$BQ$12)+(BP56/12*$E56*$F56*$G56*$M56*$BQ$14*$BQ$15)</f>
        <v>949670.57117979194</v>
      </c>
      <c r="BR56" s="182"/>
      <c r="BS56" s="183">
        <f>(BR56*$E56*$F56*$G56*$M56*$BS$12)</f>
        <v>0</v>
      </c>
      <c r="BT56" s="182"/>
      <c r="BU56" s="182">
        <f>(BT56*$E56*$F56*$G56*$M56*$BU$12)</f>
        <v>0</v>
      </c>
      <c r="BV56" s="182"/>
      <c r="BW56" s="182">
        <f>(BV56*$E56*$F56*$G56*$M56*$BW$12)</f>
        <v>0</v>
      </c>
      <c r="BX56" s="182">
        <v>2</v>
      </c>
      <c r="BY56" s="183">
        <f t="shared" ref="BY56" si="167">(BX56*$E56*$F56*$G56*$M56*$BY$12)/12*11+(BX56*$E56*$F56*$G56*$M56*$BY$12*$BY$15)/12</f>
        <v>216531.57957580799</v>
      </c>
      <c r="BZ56" s="182">
        <v>1</v>
      </c>
      <c r="CA56" s="187">
        <f t="shared" ref="CA56" si="168">(BZ56*$E56*$F56*$G56*$M56*$CA$12)/12*11+(BZ56*$E56*$F56*$G56*$M56*$CA$12*$CA$15)/12</f>
        <v>104913.89159663999</v>
      </c>
      <c r="CB56" s="182"/>
      <c r="CC56" s="182">
        <f>(CB56*$E56*$F56*$G56*$L56*$CC$12)</f>
        <v>0</v>
      </c>
      <c r="CD56" s="182"/>
      <c r="CE56" s="182">
        <f>(CD56*$E56*$F56*$G56*$L56*$CE$12)</f>
        <v>0</v>
      </c>
      <c r="CF56" s="182"/>
      <c r="CG56" s="182">
        <f>(CF56*$E56*$F56*$G56*$L56*$CG$12)</f>
        <v>0</v>
      </c>
      <c r="CH56" s="182">
        <v>1</v>
      </c>
      <c r="CI56" s="182">
        <f t="shared" ref="CI56" si="169">(CH56*$E56*$F56*$G56*$M56*$CI$12)/12*11+(CH56*$E56*$F56*$G56*$M56*$CI$12*$CI$15)/12</f>
        <v>89461.685086367987</v>
      </c>
      <c r="CJ56" s="182"/>
      <c r="CK56" s="182"/>
      <c r="CL56" s="182"/>
      <c r="CM56" s="183">
        <f>(CL56*$E56*$F56*$G56*$L56*$CM$12)</f>
        <v>0</v>
      </c>
      <c r="CN56" s="182"/>
      <c r="CO56" s="183">
        <f>(CN56*$E56*$F56*$G56*$L56*$CO$12)</f>
        <v>0</v>
      </c>
      <c r="CP56" s="182"/>
      <c r="CQ56" s="182">
        <f>(CP56*$E56*$F56*$G56*$L56*$CQ$12)</f>
        <v>0</v>
      </c>
      <c r="CR56" s="182"/>
      <c r="CS56" s="182">
        <f>(CR56*$E56*$F56*$G56*$L56*$CS$12)</f>
        <v>0</v>
      </c>
      <c r="CT56" s="182"/>
      <c r="CU56" s="182">
        <f>(CT56*$E56*$F56*$G56*$L56*$CU$12)</f>
        <v>0</v>
      </c>
      <c r="CV56" s="182"/>
      <c r="CW56" s="182">
        <v>0</v>
      </c>
      <c r="CX56" s="182">
        <v>1</v>
      </c>
      <c r="CY56" s="182">
        <f t="shared" ref="CY56" si="170">(CX56/12*11*$E56*$F56*$G56*$M56*$CY$12)+(CX56/12*$E56*$F56*$G56*$M56*$CY$15*$CY$12)</f>
        <v>86632.37957203199</v>
      </c>
      <c r="CZ56" s="182"/>
      <c r="DA56" s="182">
        <v>0</v>
      </c>
      <c r="DB56" s="188"/>
      <c r="DC56" s="182">
        <f>(DB56*$E56*$F56*$G56*$M56*$DC$12)</f>
        <v>0</v>
      </c>
      <c r="DD56" s="182"/>
      <c r="DE56" s="187">
        <f>(DD56*$E56*$F56*$G56*$M56*DE$12)</f>
        <v>0</v>
      </c>
      <c r="DF56" s="182"/>
      <c r="DG56" s="182">
        <f>(DF56*$E56*$F56*$G56*$M56*$DG$12)</f>
        <v>0</v>
      </c>
      <c r="DH56" s="189"/>
      <c r="DI56" s="182">
        <f>(DH56*$E56*$F56*$G56*$M56*$BY$12)</f>
        <v>0</v>
      </c>
      <c r="DJ56" s="182">
        <v>1</v>
      </c>
      <c r="DK56" s="182">
        <f>(DJ56/12*11*$E56*$F56*$G56*$M56*$DK$12)+(DJ56/12*1*$E56*$F56*$M56*$G56*$DK$12*$DK$15)</f>
        <v>87475.404778719996</v>
      </c>
      <c r="DL56" s="182"/>
      <c r="DM56" s="182">
        <f>(DL56*$E56*$F56*$G56*$N56*$DM$12)</f>
        <v>0</v>
      </c>
      <c r="DN56" s="182"/>
      <c r="DO56" s="190">
        <f>(DN56*$E56*$F56*$G56*$O56*$DO$12)</f>
        <v>0</v>
      </c>
      <c r="DP56" s="187"/>
      <c r="DQ56" s="187"/>
      <c r="DR56" s="183">
        <f>SUM(P56,R56,T56,V56,AB56,AJ56,AD56,AF56,AH56,AL56,AN56,AP56,AV56,AZ56,BB56,CF56,AR56,BF56,BH56,BJ56,CT56,BL56,BN56,AT56,BR56,AX56,CV56,BT56,CX56,BV56,BX56,BZ56,CH56,CB56,CD56,CJ56,CL56,CN56,CP56,CR56,CZ56,DB56,BP56,BD56,DD56,DF56,DH56,DJ56,DL56,DN56,DP56)</f>
        <v>107</v>
      </c>
      <c r="DS56" s="183">
        <f>SUM(Q56,S56,U56,W56,AC56,AK56,AE56,AG56,AI56,AM56,AO56,AQ56,AW56,BA56,BC56,CG56,AS56,BG56,BI56,BK56,CU56,BM56,BO56,AU56,BS56,AY56,CW56,BU56,CY56,BW56,BY56,CA56,CI56,CC56,CE56,CK56,CM56,CO56,CQ56,CS56,DA56,DC56,BQ56,BE56,DE56,DG56,DI56,DK56,DM56,DO56,DQ56)</f>
        <v>9180357.1425719466</v>
      </c>
      <c r="DT56" s="182">
        <v>107</v>
      </c>
      <c r="DU56" s="182">
        <v>8987719.9335466661</v>
      </c>
      <c r="DV56" s="167">
        <f t="shared" si="5"/>
        <v>0</v>
      </c>
      <c r="DW56" s="167">
        <f t="shared" si="5"/>
        <v>192637.20902528055</v>
      </c>
    </row>
    <row r="57" spans="1:127" ht="15.75" customHeight="1" x14ac:dyDescent="0.25">
      <c r="A57" s="170">
        <v>8</v>
      </c>
      <c r="B57" s="197"/>
      <c r="C57" s="198"/>
      <c r="D57" s="157" t="s">
        <v>211</v>
      </c>
      <c r="E57" s="158">
        <v>25969</v>
      </c>
      <c r="F57" s="199">
        <v>6.36</v>
      </c>
      <c r="G57" s="171"/>
      <c r="H57" s="169"/>
      <c r="I57" s="169"/>
      <c r="J57" s="169"/>
      <c r="K57" s="173"/>
      <c r="L57" s="174">
        <v>1.4</v>
      </c>
      <c r="M57" s="174">
        <v>1.68</v>
      </c>
      <c r="N57" s="174">
        <v>2.23</v>
      </c>
      <c r="O57" s="175">
        <v>2.57</v>
      </c>
      <c r="P57" s="166">
        <f t="shared" ref="P57:CA57" si="171">SUM(P58:P60)</f>
        <v>0</v>
      </c>
      <c r="Q57" s="166">
        <f t="shared" si="171"/>
        <v>0</v>
      </c>
      <c r="R57" s="166">
        <f t="shared" si="171"/>
        <v>0</v>
      </c>
      <c r="S57" s="166">
        <f t="shared" si="171"/>
        <v>0</v>
      </c>
      <c r="T57" s="166">
        <f t="shared" si="171"/>
        <v>216</v>
      </c>
      <c r="U57" s="166">
        <f t="shared" si="171"/>
        <v>57950847.977049999</v>
      </c>
      <c r="V57" s="166">
        <f t="shared" si="171"/>
        <v>0</v>
      </c>
      <c r="W57" s="166">
        <f t="shared" si="171"/>
        <v>0</v>
      </c>
      <c r="X57" s="166">
        <v>0</v>
      </c>
      <c r="Y57" s="166">
        <v>0</v>
      </c>
      <c r="Z57" s="166">
        <v>0</v>
      </c>
      <c r="AA57" s="166">
        <v>0</v>
      </c>
      <c r="AB57" s="166">
        <f t="shared" si="171"/>
        <v>0</v>
      </c>
      <c r="AC57" s="166">
        <f t="shared" si="171"/>
        <v>0</v>
      </c>
      <c r="AD57" s="166">
        <f t="shared" si="171"/>
        <v>0</v>
      </c>
      <c r="AE57" s="166">
        <f t="shared" si="171"/>
        <v>0</v>
      </c>
      <c r="AF57" s="166">
        <f t="shared" si="171"/>
        <v>0</v>
      </c>
      <c r="AG57" s="166">
        <f t="shared" si="171"/>
        <v>0</v>
      </c>
      <c r="AH57" s="166">
        <f t="shared" si="171"/>
        <v>0</v>
      </c>
      <c r="AI57" s="166">
        <f t="shared" si="171"/>
        <v>0</v>
      </c>
      <c r="AJ57" s="166">
        <f>SUM(AJ58:AJ60)</f>
        <v>0</v>
      </c>
      <c r="AK57" s="166">
        <f>SUM(AK58:AK60)</f>
        <v>0</v>
      </c>
      <c r="AL57" s="166">
        <f t="shared" si="171"/>
        <v>0</v>
      </c>
      <c r="AM57" s="166">
        <f t="shared" si="171"/>
        <v>0</v>
      </c>
      <c r="AN57" s="166">
        <f t="shared" si="171"/>
        <v>0</v>
      </c>
      <c r="AO57" s="166">
        <f t="shared" si="171"/>
        <v>0</v>
      </c>
      <c r="AP57" s="166">
        <f t="shared" si="171"/>
        <v>0</v>
      </c>
      <c r="AQ57" s="166">
        <f t="shared" si="171"/>
        <v>0</v>
      </c>
      <c r="AR57" s="166">
        <f t="shared" si="171"/>
        <v>0</v>
      </c>
      <c r="AS57" s="166">
        <f t="shared" si="171"/>
        <v>0</v>
      </c>
      <c r="AT57" s="166">
        <f t="shared" si="171"/>
        <v>0</v>
      </c>
      <c r="AU57" s="166">
        <f t="shared" si="171"/>
        <v>0</v>
      </c>
      <c r="AV57" s="166">
        <f t="shared" si="171"/>
        <v>0</v>
      </c>
      <c r="AW57" s="166">
        <f t="shared" si="171"/>
        <v>0</v>
      </c>
      <c r="AX57" s="166">
        <f t="shared" si="171"/>
        <v>0</v>
      </c>
      <c r="AY57" s="166">
        <f t="shared" si="171"/>
        <v>0</v>
      </c>
      <c r="AZ57" s="166">
        <f t="shared" si="171"/>
        <v>0</v>
      </c>
      <c r="BA57" s="166">
        <f t="shared" si="171"/>
        <v>0</v>
      </c>
      <c r="BB57" s="166">
        <f t="shared" si="171"/>
        <v>0</v>
      </c>
      <c r="BC57" s="166">
        <f t="shared" si="171"/>
        <v>0</v>
      </c>
      <c r="BD57" s="166">
        <f t="shared" si="171"/>
        <v>0</v>
      </c>
      <c r="BE57" s="166">
        <f t="shared" si="171"/>
        <v>0</v>
      </c>
      <c r="BF57" s="166">
        <f t="shared" si="171"/>
        <v>0</v>
      </c>
      <c r="BG57" s="166">
        <f t="shared" si="171"/>
        <v>0</v>
      </c>
      <c r="BH57" s="166">
        <f t="shared" si="171"/>
        <v>0</v>
      </c>
      <c r="BI57" s="166">
        <f t="shared" si="171"/>
        <v>0</v>
      </c>
      <c r="BJ57" s="166">
        <f t="shared" si="171"/>
        <v>0</v>
      </c>
      <c r="BK57" s="166">
        <f t="shared" si="171"/>
        <v>0</v>
      </c>
      <c r="BL57" s="166">
        <f t="shared" si="171"/>
        <v>0</v>
      </c>
      <c r="BM57" s="166">
        <f t="shared" si="171"/>
        <v>0</v>
      </c>
      <c r="BN57" s="166">
        <f t="shared" si="171"/>
        <v>0</v>
      </c>
      <c r="BO57" s="166">
        <f t="shared" si="171"/>
        <v>0</v>
      </c>
      <c r="BP57" s="166">
        <f t="shared" si="171"/>
        <v>0</v>
      </c>
      <c r="BQ57" s="166">
        <f t="shared" si="171"/>
        <v>0</v>
      </c>
      <c r="BR57" s="166">
        <f t="shared" si="171"/>
        <v>0</v>
      </c>
      <c r="BS57" s="166">
        <f t="shared" si="171"/>
        <v>0</v>
      </c>
      <c r="BT57" s="166">
        <f t="shared" si="171"/>
        <v>0</v>
      </c>
      <c r="BU57" s="166">
        <f t="shared" si="171"/>
        <v>0</v>
      </c>
      <c r="BV57" s="166">
        <f t="shared" si="171"/>
        <v>0</v>
      </c>
      <c r="BW57" s="166">
        <f t="shared" si="171"/>
        <v>0</v>
      </c>
      <c r="BX57" s="166">
        <f t="shared" si="171"/>
        <v>0</v>
      </c>
      <c r="BY57" s="166">
        <f t="shared" si="171"/>
        <v>0</v>
      </c>
      <c r="BZ57" s="166">
        <f t="shared" si="171"/>
        <v>0</v>
      </c>
      <c r="CA57" s="166">
        <f t="shared" si="171"/>
        <v>0</v>
      </c>
      <c r="CB57" s="166">
        <f t="shared" ref="CB57:DQ57" si="172">SUM(CB58:CB60)</f>
        <v>0</v>
      </c>
      <c r="CC57" s="166">
        <f t="shared" si="172"/>
        <v>0</v>
      </c>
      <c r="CD57" s="166">
        <f t="shared" si="172"/>
        <v>0</v>
      </c>
      <c r="CE57" s="166">
        <f t="shared" si="172"/>
        <v>0</v>
      </c>
      <c r="CF57" s="166">
        <f t="shared" si="172"/>
        <v>0</v>
      </c>
      <c r="CG57" s="166">
        <f t="shared" si="172"/>
        <v>0</v>
      </c>
      <c r="CH57" s="166">
        <f t="shared" si="172"/>
        <v>0</v>
      </c>
      <c r="CI57" s="166">
        <f t="shared" si="172"/>
        <v>0</v>
      </c>
      <c r="CJ57" s="166">
        <f t="shared" si="172"/>
        <v>0</v>
      </c>
      <c r="CK57" s="166">
        <f t="shared" si="172"/>
        <v>0</v>
      </c>
      <c r="CL57" s="166">
        <f t="shared" si="172"/>
        <v>0</v>
      </c>
      <c r="CM57" s="166">
        <f t="shared" si="172"/>
        <v>0</v>
      </c>
      <c r="CN57" s="166">
        <f t="shared" si="172"/>
        <v>0</v>
      </c>
      <c r="CO57" s="166">
        <f t="shared" si="172"/>
        <v>0</v>
      </c>
      <c r="CP57" s="166">
        <f t="shared" si="172"/>
        <v>0</v>
      </c>
      <c r="CQ57" s="166">
        <f t="shared" si="172"/>
        <v>0</v>
      </c>
      <c r="CR57" s="166">
        <f t="shared" si="172"/>
        <v>0</v>
      </c>
      <c r="CS57" s="166">
        <f t="shared" si="172"/>
        <v>0</v>
      </c>
      <c r="CT57" s="166">
        <f t="shared" si="172"/>
        <v>0</v>
      </c>
      <c r="CU57" s="166">
        <f t="shared" si="172"/>
        <v>0</v>
      </c>
      <c r="CV57" s="166">
        <f t="shared" si="172"/>
        <v>0</v>
      </c>
      <c r="CW57" s="166">
        <v>0</v>
      </c>
      <c r="CX57" s="166">
        <f t="shared" si="172"/>
        <v>0</v>
      </c>
      <c r="CY57" s="166">
        <f t="shared" si="172"/>
        <v>0</v>
      </c>
      <c r="CZ57" s="166">
        <f t="shared" si="172"/>
        <v>0</v>
      </c>
      <c r="DA57" s="166">
        <v>0</v>
      </c>
      <c r="DB57" s="166">
        <f t="shared" si="172"/>
        <v>0</v>
      </c>
      <c r="DC57" s="166">
        <f t="shared" si="172"/>
        <v>0</v>
      </c>
      <c r="DD57" s="166">
        <f t="shared" si="172"/>
        <v>0</v>
      </c>
      <c r="DE57" s="166">
        <f t="shared" si="172"/>
        <v>0</v>
      </c>
      <c r="DF57" s="166">
        <f t="shared" si="172"/>
        <v>0</v>
      </c>
      <c r="DG57" s="166">
        <f t="shared" si="172"/>
        <v>0</v>
      </c>
      <c r="DH57" s="166">
        <f t="shared" si="172"/>
        <v>0</v>
      </c>
      <c r="DI57" s="166">
        <f t="shared" si="172"/>
        <v>0</v>
      </c>
      <c r="DJ57" s="166">
        <f t="shared" si="172"/>
        <v>0</v>
      </c>
      <c r="DK57" s="166">
        <f t="shared" si="172"/>
        <v>0</v>
      </c>
      <c r="DL57" s="166">
        <f t="shared" si="172"/>
        <v>0</v>
      </c>
      <c r="DM57" s="166">
        <f t="shared" si="172"/>
        <v>0</v>
      </c>
      <c r="DN57" s="166">
        <f t="shared" si="172"/>
        <v>0</v>
      </c>
      <c r="DO57" s="166">
        <f t="shared" si="172"/>
        <v>0</v>
      </c>
      <c r="DP57" s="166">
        <f t="shared" si="172"/>
        <v>0</v>
      </c>
      <c r="DQ57" s="166">
        <f t="shared" si="172"/>
        <v>0</v>
      </c>
      <c r="DR57" s="166">
        <f>SUM(DR58:DR60)</f>
        <v>216</v>
      </c>
      <c r="DS57" s="166">
        <f t="shared" ref="DS57" si="173">SUM(DS58:DS60)</f>
        <v>57950847.977049999</v>
      </c>
      <c r="DT57" s="166">
        <v>216</v>
      </c>
      <c r="DU57" s="166">
        <v>57377077.204999998</v>
      </c>
      <c r="DV57" s="167">
        <f t="shared" si="5"/>
        <v>0</v>
      </c>
      <c r="DW57" s="167">
        <f t="shared" si="5"/>
        <v>573770.77205000073</v>
      </c>
    </row>
    <row r="58" spans="1:127" ht="45" customHeight="1" x14ac:dyDescent="0.25">
      <c r="A58" s="154"/>
      <c r="B58" s="176">
        <v>35</v>
      </c>
      <c r="C58" s="207" t="s">
        <v>212</v>
      </c>
      <c r="D58" s="178" t="s">
        <v>213</v>
      </c>
      <c r="E58" s="158">
        <v>25969</v>
      </c>
      <c r="F58" s="179">
        <v>4.37</v>
      </c>
      <c r="G58" s="168">
        <v>1</v>
      </c>
      <c r="H58" s="169"/>
      <c r="I58" s="169"/>
      <c r="J58" s="169"/>
      <c r="K58" s="106"/>
      <c r="L58" s="180">
        <v>1.4</v>
      </c>
      <c r="M58" s="180">
        <v>1.68</v>
      </c>
      <c r="N58" s="180">
        <v>2.23</v>
      </c>
      <c r="O58" s="181">
        <v>2.57</v>
      </c>
      <c r="P58" s="182"/>
      <c r="Q58" s="182">
        <f>(P58*$E58*$F58*$G58*$L58*$Q$12)</f>
        <v>0</v>
      </c>
      <c r="R58" s="182"/>
      <c r="S58" s="182">
        <f>(R58*$E58*$F58*$G58*$L58*$S$12)</f>
        <v>0</v>
      </c>
      <c r="T58" s="182">
        <v>110</v>
      </c>
      <c r="U58" s="182">
        <f t="shared" ref="U58:U60" si="174">(T58/12*11*$E58*$F58*$G58*$L58*$U$12)+(T58/12*1*$E58*$F58*$G58*$L58*$U$14)</f>
        <v>22064229.745249998</v>
      </c>
      <c r="V58" s="182"/>
      <c r="W58" s="183">
        <f t="shared" ref="W58:W60" si="175">(V58*$E58*$F58*$G58*$L58*$W$12)/12*10+(V58*$E58*$F58*$G58*$L58*$W$13)/12*1++(V58*$E58*$F58*$G58*$L58*$W$14)/12*1</f>
        <v>0</v>
      </c>
      <c r="X58" s="183"/>
      <c r="Y58" s="183">
        <v>0</v>
      </c>
      <c r="Z58" s="183"/>
      <c r="AA58" s="183">
        <v>0</v>
      </c>
      <c r="AB58" s="182">
        <f t="shared" ref="AB58:AC60" si="176">X58+Z58</f>
        <v>0</v>
      </c>
      <c r="AC58" s="182">
        <f t="shared" si="176"/>
        <v>0</v>
      </c>
      <c r="AD58" s="182"/>
      <c r="AE58" s="182">
        <f>(AD58*$E58*$F58*$G58*$L58*$AE$12)</f>
        <v>0</v>
      </c>
      <c r="AF58" s="182"/>
      <c r="AG58" s="182"/>
      <c r="AH58" s="182"/>
      <c r="AI58" s="182">
        <f>(AH58*$E58*$F58*$G58*$L58*$AI$12)</f>
        <v>0</v>
      </c>
      <c r="AJ58" s="182"/>
      <c r="AK58" s="182"/>
      <c r="AL58" s="182"/>
      <c r="AM58" s="182"/>
      <c r="AN58" s="184"/>
      <c r="AO58" s="182">
        <f>(AN58*$E58*$F58*$G58*$L58*$AO$12)</f>
        <v>0</v>
      </c>
      <c r="AP58" s="182"/>
      <c r="AQ58" s="183">
        <f>(AP58*$E58*$F58*$G58*$L58*$AQ$12)</f>
        <v>0</v>
      </c>
      <c r="AR58" s="182"/>
      <c r="AS58" s="182">
        <f t="shared" ref="AS58:AS60" si="177">(AR58*$E58*$F58*$G58*$L58*$AS$12)/12*10+(AR58*$E58*$F58*$G58*$L58*$AS$13)/12*1+(AR58*$E58*$F58*$G58*$L58*$AS$14)/12*1</f>
        <v>0</v>
      </c>
      <c r="AT58" s="182"/>
      <c r="AU58" s="182">
        <f>(AT58*$E58*$F58*$G58*$M58*$AU$12)</f>
        <v>0</v>
      </c>
      <c r="AV58" s="188"/>
      <c r="AW58" s="182">
        <f>(AV58*$E58*$F58*$G58*$M58*$AW$12)</f>
        <v>0</v>
      </c>
      <c r="AX58" s="182"/>
      <c r="AY58" s="187">
        <f>(AX58*$E58*$F58*$G58*$M58*$AY$12)</f>
        <v>0</v>
      </c>
      <c r="AZ58" s="182"/>
      <c r="BA58" s="182">
        <f>(AZ58*$E58*$F58*$G58*$L58*$BA$12)</f>
        <v>0</v>
      </c>
      <c r="BB58" s="182"/>
      <c r="BC58" s="182">
        <f>(BB58*$E58*$F58*$G58*$L58*$BC$12)</f>
        <v>0</v>
      </c>
      <c r="BD58" s="182"/>
      <c r="BE58" s="182">
        <f>(BD58*$E58*$F58*$G58*$L58*$BE$12)</f>
        <v>0</v>
      </c>
      <c r="BF58" s="182"/>
      <c r="BG58" s="182">
        <f>(BF58*$E58*$F58*$G58*$L58*$BG$12)</f>
        <v>0</v>
      </c>
      <c r="BH58" s="182"/>
      <c r="BI58" s="183">
        <f>(BH58*$E58*$F58*$G58*$L58*$BI$12)</f>
        <v>0</v>
      </c>
      <c r="BJ58" s="182"/>
      <c r="BK58" s="183">
        <f>(BJ58*$E58*$F58*$G58*$L58*$BK$12)</f>
        <v>0</v>
      </c>
      <c r="BL58" s="182"/>
      <c r="BM58" s="182">
        <f>(BL58*$E58*$F58*$G58*$L58*$BM$12)</f>
        <v>0</v>
      </c>
      <c r="BN58" s="182"/>
      <c r="BO58" s="182">
        <f>(BN58*$E58*$F58*$G58*$M58*$BO$12)</f>
        <v>0</v>
      </c>
      <c r="BP58" s="182"/>
      <c r="BQ58" s="182">
        <f>(BP58*$E58*$F58*$G58*$M58*$BQ$12)</f>
        <v>0</v>
      </c>
      <c r="BR58" s="182"/>
      <c r="BS58" s="183">
        <f>(BR58*$E58*$F58*$G58*$M58*$BS$12)</f>
        <v>0</v>
      </c>
      <c r="BT58" s="182"/>
      <c r="BU58" s="182">
        <f>(BT58*$E58*$F58*$G58*$M58*$BU$12)</f>
        <v>0</v>
      </c>
      <c r="BV58" s="182"/>
      <c r="BW58" s="182">
        <f>(BV58*$E58*$F58*$G58*$M58*$BW$12)</f>
        <v>0</v>
      </c>
      <c r="BX58" s="182"/>
      <c r="BY58" s="183">
        <f>(BX58*$E58*$F58*$G58*$M58*$BY$12)</f>
        <v>0</v>
      </c>
      <c r="BZ58" s="182"/>
      <c r="CA58" s="187">
        <f>(BZ58*$E58*$F58*$G58*$M58*$CA$12)</f>
        <v>0</v>
      </c>
      <c r="CB58" s="182"/>
      <c r="CC58" s="182">
        <f>(CB58*$E58*$F58*$G58*$L58*$CC$12)</f>
        <v>0</v>
      </c>
      <c r="CD58" s="182"/>
      <c r="CE58" s="182">
        <f>(CD58*$E58*$F58*$G58*$L58*$CE$12)</f>
        <v>0</v>
      </c>
      <c r="CF58" s="182"/>
      <c r="CG58" s="182">
        <f>(CF58*$E58*$F58*$G58*$L58*$CG$12)</f>
        <v>0</v>
      </c>
      <c r="CH58" s="182"/>
      <c r="CI58" s="182">
        <f>(CH58*$E58*$F58*$G58*$M58*$CI$12)</f>
        <v>0</v>
      </c>
      <c r="CJ58" s="182"/>
      <c r="CK58" s="182"/>
      <c r="CL58" s="182"/>
      <c r="CM58" s="183">
        <f>(CL58*$E58*$F58*$G58*$L58*$CM$12)</f>
        <v>0</v>
      </c>
      <c r="CN58" s="182"/>
      <c r="CO58" s="183">
        <f>(CN58*$E58*$F58*$G58*$L58*$CO$12)</f>
        <v>0</v>
      </c>
      <c r="CP58" s="182"/>
      <c r="CQ58" s="182">
        <f>(CP58*$E58*$F58*$G58*$L58*$CQ$12)</f>
        <v>0</v>
      </c>
      <c r="CR58" s="182"/>
      <c r="CS58" s="182">
        <f t="shared" ref="CS58:CS60" si="178">(CR58*$E58*$F58*$G58*$L58*$CS$12)/12*10+(CR58*$E58*$F58*$G58*$L58*$CS$13)/12*2</f>
        <v>0</v>
      </c>
      <c r="CT58" s="182"/>
      <c r="CU58" s="182">
        <f>(CT58*$E58*$F58*$G58*$L58*$CU$12)</f>
        <v>0</v>
      </c>
      <c r="CV58" s="182"/>
      <c r="CW58" s="182">
        <v>0</v>
      </c>
      <c r="CX58" s="182"/>
      <c r="CY58" s="182">
        <f>(CX58*$E58*$F58*$G58*$M58*$CY$12)</f>
        <v>0</v>
      </c>
      <c r="CZ58" s="182"/>
      <c r="DA58" s="182">
        <v>0</v>
      </c>
      <c r="DB58" s="188"/>
      <c r="DC58" s="182">
        <f>(DB58*$E58*$F58*$G58*$M58*$DC$12)</f>
        <v>0</v>
      </c>
      <c r="DD58" s="182"/>
      <c r="DE58" s="187">
        <f t="shared" ref="DE58:DE60" si="179">(DD58*$E58*$F58*$G58*$M58*DE$12)</f>
        <v>0</v>
      </c>
      <c r="DF58" s="182"/>
      <c r="DG58" s="182">
        <f>(DF58*$E58*$F58*$G58*$M58*$DG$12)</f>
        <v>0</v>
      </c>
      <c r="DH58" s="189"/>
      <c r="DI58" s="182">
        <f>(DH58*$E58*$F58*$G58*$M58*$BY$12)</f>
        <v>0</v>
      </c>
      <c r="DJ58" s="182"/>
      <c r="DK58" s="182">
        <f>(DJ58*$E58*$F58*$G58*$M58*$DK$12)</f>
        <v>0</v>
      </c>
      <c r="DL58" s="182"/>
      <c r="DM58" s="182">
        <f>(DL58*$E58*$F58*$G58*$N58*$DM$12)</f>
        <v>0</v>
      </c>
      <c r="DN58" s="182"/>
      <c r="DO58" s="190">
        <f>(DN58*$E58*$F58*$G58*$O58*$DO$12)</f>
        <v>0</v>
      </c>
      <c r="DP58" s="187"/>
      <c r="DQ58" s="187"/>
      <c r="DR58" s="183">
        <f t="shared" ref="DR58:DS60" si="180">SUM(P58,R58,T58,V58,AB58,AJ58,AD58,AF58,AH58,AL58,AN58,AP58,AV58,AZ58,BB58,CF58,AR58,BF58,BH58,BJ58,CT58,BL58,BN58,AT58,BR58,AX58,CV58,BT58,CX58,BV58,BX58,BZ58,CH58,CB58,CD58,CJ58,CL58,CN58,CP58,CR58,CZ58,DB58,BP58,BD58,DD58,DF58,DH58,DJ58,DL58,DN58,DP58)</f>
        <v>110</v>
      </c>
      <c r="DS58" s="183">
        <f t="shared" si="180"/>
        <v>22064229.745249998</v>
      </c>
      <c r="DT58" s="182">
        <v>110</v>
      </c>
      <c r="DU58" s="182">
        <v>21845772.025000002</v>
      </c>
      <c r="DV58" s="167">
        <f t="shared" si="5"/>
        <v>0</v>
      </c>
      <c r="DW58" s="167">
        <f t="shared" si="5"/>
        <v>218457.72024999559</v>
      </c>
    </row>
    <row r="59" spans="1:127" ht="27.75" customHeight="1" x14ac:dyDescent="0.25">
      <c r="A59" s="154"/>
      <c r="B59" s="176">
        <v>36</v>
      </c>
      <c r="C59" s="208" t="s">
        <v>214</v>
      </c>
      <c r="D59" s="178" t="s">
        <v>215</v>
      </c>
      <c r="E59" s="158">
        <v>25969</v>
      </c>
      <c r="F59" s="179">
        <v>7.82</v>
      </c>
      <c r="G59" s="168">
        <v>1</v>
      </c>
      <c r="H59" s="169"/>
      <c r="I59" s="169"/>
      <c r="J59" s="169"/>
      <c r="K59" s="106"/>
      <c r="L59" s="180">
        <v>1.4</v>
      </c>
      <c r="M59" s="180">
        <v>1.68</v>
      </c>
      <c r="N59" s="180">
        <v>2.23</v>
      </c>
      <c r="O59" s="181">
        <v>2.57</v>
      </c>
      <c r="P59" s="182"/>
      <c r="Q59" s="182">
        <f>(P59*$E59*$F59*$G59*$L59*$Q$12)</f>
        <v>0</v>
      </c>
      <c r="R59" s="182"/>
      <c r="S59" s="182">
        <f>(R59*$E59*$F59*$G59*$L59*$S$12)</f>
        <v>0</v>
      </c>
      <c r="T59" s="182">
        <v>84</v>
      </c>
      <c r="U59" s="182">
        <f t="shared" si="174"/>
        <v>30150928.302599996</v>
      </c>
      <c r="V59" s="182"/>
      <c r="W59" s="183">
        <f t="shared" si="175"/>
        <v>0</v>
      </c>
      <c r="X59" s="183"/>
      <c r="Y59" s="183">
        <v>0</v>
      </c>
      <c r="Z59" s="183"/>
      <c r="AA59" s="183">
        <v>0</v>
      </c>
      <c r="AB59" s="182">
        <f t="shared" si="176"/>
        <v>0</v>
      </c>
      <c r="AC59" s="182">
        <f t="shared" si="176"/>
        <v>0</v>
      </c>
      <c r="AD59" s="182"/>
      <c r="AE59" s="182">
        <f>(AD59*$E59*$F59*$G59*$L59*$AE$12)</f>
        <v>0</v>
      </c>
      <c r="AF59" s="182"/>
      <c r="AG59" s="182"/>
      <c r="AH59" s="182"/>
      <c r="AI59" s="182">
        <f>(AH59*$E59*$F59*$G59*$L59*$AI$12)</f>
        <v>0</v>
      </c>
      <c r="AJ59" s="182"/>
      <c r="AK59" s="182"/>
      <c r="AL59" s="182"/>
      <c r="AM59" s="182"/>
      <c r="AN59" s="184"/>
      <c r="AO59" s="182">
        <f>(AN59*$E59*$F59*$G59*$L59*$AO$12)</f>
        <v>0</v>
      </c>
      <c r="AP59" s="182"/>
      <c r="AQ59" s="183">
        <f>(AP59*$E59*$F59*$G59*$L59*$AQ$12)</f>
        <v>0</v>
      </c>
      <c r="AR59" s="182"/>
      <c r="AS59" s="182">
        <f t="shared" si="177"/>
        <v>0</v>
      </c>
      <c r="AT59" s="182"/>
      <c r="AU59" s="182">
        <f>(AT59*$E59*$F59*$G59*$M59*$AU$12)</f>
        <v>0</v>
      </c>
      <c r="AV59" s="188"/>
      <c r="AW59" s="182">
        <f>(AV59*$E59*$F59*$G59*$M59*$AW$12)</f>
        <v>0</v>
      </c>
      <c r="AX59" s="182"/>
      <c r="AY59" s="187">
        <f>(AX59*$E59*$F59*$G59*$M59*$AY$12)</f>
        <v>0</v>
      </c>
      <c r="AZ59" s="182"/>
      <c r="BA59" s="182">
        <f>(AZ59*$E59*$F59*$G59*$L59*$BA$12)</f>
        <v>0</v>
      </c>
      <c r="BB59" s="182"/>
      <c r="BC59" s="182">
        <f>(BB59*$E59*$F59*$G59*$L59*$BC$12)</f>
        <v>0</v>
      </c>
      <c r="BD59" s="182"/>
      <c r="BE59" s="182">
        <f>(BD59*$E59*$F59*$G59*$L59*$BE$12)</f>
        <v>0</v>
      </c>
      <c r="BF59" s="182"/>
      <c r="BG59" s="182">
        <f>(BF59*$E59*$F59*$G59*$L59*$BG$12)</f>
        <v>0</v>
      </c>
      <c r="BH59" s="182"/>
      <c r="BI59" s="183">
        <f>(BH59*$E59*$F59*$G59*$L59*$BI$12)</f>
        <v>0</v>
      </c>
      <c r="BJ59" s="182"/>
      <c r="BK59" s="183">
        <f>(BJ59*$E59*$F59*$G59*$L59*$BK$12)</f>
        <v>0</v>
      </c>
      <c r="BL59" s="182"/>
      <c r="BM59" s="182">
        <f>(BL59*$E59*$F59*$G59*$L59*$BM$12)</f>
        <v>0</v>
      </c>
      <c r="BN59" s="182"/>
      <c r="BO59" s="182">
        <f>(BN59*$E59*$F59*$G59*$M59*$BO$12)</f>
        <v>0</v>
      </c>
      <c r="BP59" s="182"/>
      <c r="BQ59" s="182">
        <f>(BP59*$E59*$F59*$G59*$M59*$BQ$12)</f>
        <v>0</v>
      </c>
      <c r="BR59" s="182"/>
      <c r="BS59" s="183">
        <f>(BR59*$E59*$F59*$G59*$M59*$BS$12)</f>
        <v>0</v>
      </c>
      <c r="BT59" s="182"/>
      <c r="BU59" s="182">
        <f>(BT59*$E59*$F59*$G59*$M59*$BU$12)</f>
        <v>0</v>
      </c>
      <c r="BV59" s="182"/>
      <c r="BW59" s="182">
        <f>(BV59*$E59*$F59*$G59*$M59*$BW$12)</f>
        <v>0</v>
      </c>
      <c r="BX59" s="182"/>
      <c r="BY59" s="183">
        <f>(BX59*$E59*$F59*$G59*$M59*$BY$12)</f>
        <v>0</v>
      </c>
      <c r="BZ59" s="182"/>
      <c r="CA59" s="187">
        <f>(BZ59*$E59*$F59*$G59*$M59*$CA$12)</f>
        <v>0</v>
      </c>
      <c r="CB59" s="182"/>
      <c r="CC59" s="182">
        <f>(CB59*$E59*$F59*$G59*$L59*$CC$12)</f>
        <v>0</v>
      </c>
      <c r="CD59" s="182"/>
      <c r="CE59" s="182">
        <f>(CD59*$E59*$F59*$G59*$L59*$CE$12)</f>
        <v>0</v>
      </c>
      <c r="CF59" s="182"/>
      <c r="CG59" s="182">
        <f>(CF59*$E59*$F59*$G59*$L59*$CG$12)</f>
        <v>0</v>
      </c>
      <c r="CH59" s="182"/>
      <c r="CI59" s="182">
        <f>(CH59*$E59*$F59*$G59*$M59*$CI$12)</f>
        <v>0</v>
      </c>
      <c r="CJ59" s="182"/>
      <c r="CK59" s="182"/>
      <c r="CL59" s="182"/>
      <c r="CM59" s="183">
        <f>(CL59*$E59*$F59*$G59*$L59*$CM$12)</f>
        <v>0</v>
      </c>
      <c r="CN59" s="182"/>
      <c r="CO59" s="183">
        <f>(CN59*$E59*$F59*$G59*$L59*$CO$12)</f>
        <v>0</v>
      </c>
      <c r="CP59" s="182"/>
      <c r="CQ59" s="182">
        <f>(CP59*$E59*$F59*$G59*$L59*$CQ$12)</f>
        <v>0</v>
      </c>
      <c r="CR59" s="182"/>
      <c r="CS59" s="182">
        <f t="shared" si="178"/>
        <v>0</v>
      </c>
      <c r="CT59" s="182"/>
      <c r="CU59" s="182">
        <f>(CT59*$E59*$F59*$G59*$L59*$CU$12)</f>
        <v>0</v>
      </c>
      <c r="CV59" s="182"/>
      <c r="CW59" s="182">
        <v>0</v>
      </c>
      <c r="CX59" s="182"/>
      <c r="CY59" s="182">
        <f>(CX59*$E59*$F59*$G59*$M59*$CY$12)</f>
        <v>0</v>
      </c>
      <c r="CZ59" s="182"/>
      <c r="DA59" s="182">
        <v>0</v>
      </c>
      <c r="DB59" s="188"/>
      <c r="DC59" s="182">
        <f>(DB59*$E59*$F59*$G59*$M59*$DC$12)</f>
        <v>0</v>
      </c>
      <c r="DD59" s="182"/>
      <c r="DE59" s="187">
        <f t="shared" si="179"/>
        <v>0</v>
      </c>
      <c r="DF59" s="182"/>
      <c r="DG59" s="182">
        <f>(DF59*$E59*$F59*$G59*$M59*$DG$12)</f>
        <v>0</v>
      </c>
      <c r="DH59" s="189"/>
      <c r="DI59" s="182">
        <f>(DH59*$E59*$F59*$G59*$M59*$BY$12)</f>
        <v>0</v>
      </c>
      <c r="DJ59" s="182"/>
      <c r="DK59" s="182">
        <f>(DJ59*$E59*$F59*$G59*$M59*$DK$12)</f>
        <v>0</v>
      </c>
      <c r="DL59" s="182"/>
      <c r="DM59" s="182">
        <f>(DL59*$E59*$F59*$G59*$N59*$DM$12)</f>
        <v>0</v>
      </c>
      <c r="DN59" s="182"/>
      <c r="DO59" s="190">
        <f>(DN59*$E59*$F59*$G59*$O59*$DO$12)</f>
        <v>0</v>
      </c>
      <c r="DP59" s="187"/>
      <c r="DQ59" s="187"/>
      <c r="DR59" s="183">
        <f t="shared" si="180"/>
        <v>84</v>
      </c>
      <c r="DS59" s="183">
        <f t="shared" si="180"/>
        <v>30150928.302599996</v>
      </c>
      <c r="DT59" s="182">
        <v>84</v>
      </c>
      <c r="DU59" s="182">
        <v>29852404.259999994</v>
      </c>
      <c r="DV59" s="167">
        <f t="shared" si="5"/>
        <v>0</v>
      </c>
      <c r="DW59" s="167">
        <f t="shared" si="5"/>
        <v>298524.04260000214</v>
      </c>
    </row>
    <row r="60" spans="1:127" ht="30" customHeight="1" x14ac:dyDescent="0.25">
      <c r="A60" s="154"/>
      <c r="B60" s="176">
        <v>37</v>
      </c>
      <c r="C60" s="208" t="s">
        <v>216</v>
      </c>
      <c r="D60" s="178" t="s">
        <v>217</v>
      </c>
      <c r="E60" s="158">
        <v>25969</v>
      </c>
      <c r="F60" s="201">
        <v>5.68</v>
      </c>
      <c r="G60" s="168">
        <v>1</v>
      </c>
      <c r="H60" s="169"/>
      <c r="I60" s="169"/>
      <c r="J60" s="169"/>
      <c r="K60" s="106"/>
      <c r="L60" s="180">
        <v>1.4</v>
      </c>
      <c r="M60" s="180">
        <v>1.68</v>
      </c>
      <c r="N60" s="180">
        <v>2.23</v>
      </c>
      <c r="O60" s="181">
        <v>2.57</v>
      </c>
      <c r="P60" s="182"/>
      <c r="Q60" s="182">
        <f>(P60*$E60*$F60*$G60*$L60*$Q$12)</f>
        <v>0</v>
      </c>
      <c r="R60" s="182"/>
      <c r="S60" s="182">
        <f>(R60*$E60*$F60*$G60*$L60*$S$12)</f>
        <v>0</v>
      </c>
      <c r="T60" s="182">
        <v>22</v>
      </c>
      <c r="U60" s="182">
        <f t="shared" si="174"/>
        <v>5735689.9291999992</v>
      </c>
      <c r="V60" s="182"/>
      <c r="W60" s="183">
        <f t="shared" si="175"/>
        <v>0</v>
      </c>
      <c r="X60" s="183"/>
      <c r="Y60" s="183">
        <v>0</v>
      </c>
      <c r="Z60" s="183"/>
      <c r="AA60" s="183">
        <v>0</v>
      </c>
      <c r="AB60" s="182">
        <f t="shared" si="176"/>
        <v>0</v>
      </c>
      <c r="AC60" s="182">
        <f t="shared" si="176"/>
        <v>0</v>
      </c>
      <c r="AD60" s="182"/>
      <c r="AE60" s="182">
        <f>(AD60*$E60*$F60*$G60*$L60*$AE$12)</f>
        <v>0</v>
      </c>
      <c r="AF60" s="182"/>
      <c r="AG60" s="182"/>
      <c r="AH60" s="182"/>
      <c r="AI60" s="182">
        <f>(AH60*$E60*$F60*$G60*$L60*$AI$12)</f>
        <v>0</v>
      </c>
      <c r="AJ60" s="182"/>
      <c r="AK60" s="182"/>
      <c r="AL60" s="182"/>
      <c r="AM60" s="182"/>
      <c r="AN60" s="184"/>
      <c r="AO60" s="182">
        <f>(AN60*$E60*$F60*$G60*$L60*$AO$12)</f>
        <v>0</v>
      </c>
      <c r="AP60" s="182"/>
      <c r="AQ60" s="183">
        <f>(AP60*$E60*$F60*$G60*$L60*$AQ$12)</f>
        <v>0</v>
      </c>
      <c r="AR60" s="182"/>
      <c r="AS60" s="182">
        <f t="shared" si="177"/>
        <v>0</v>
      </c>
      <c r="AT60" s="182"/>
      <c r="AU60" s="182">
        <f>(AT60*$E60*$F60*$G60*$M60*$AU$12)</f>
        <v>0</v>
      </c>
      <c r="AV60" s="188"/>
      <c r="AW60" s="182">
        <f>(AV60*$E60*$F60*$G60*$M60*$AW$12)</f>
        <v>0</v>
      </c>
      <c r="AX60" s="182"/>
      <c r="AY60" s="187">
        <f>(AX60*$E60*$F60*$G60*$M60*$AY$12)</f>
        <v>0</v>
      </c>
      <c r="AZ60" s="182"/>
      <c r="BA60" s="182">
        <f>(AZ60*$E60*$F60*$G60*$L60*$BA$12)</f>
        <v>0</v>
      </c>
      <c r="BB60" s="182"/>
      <c r="BC60" s="182">
        <f>(BB60*$E60*$F60*$G60*$L60*$BC$12)</f>
        <v>0</v>
      </c>
      <c r="BD60" s="182"/>
      <c r="BE60" s="182">
        <f>(BD60*$E60*$F60*$G60*$L60*$BE$12)</f>
        <v>0</v>
      </c>
      <c r="BF60" s="182"/>
      <c r="BG60" s="182">
        <f>(BF60*$E60*$F60*$G60*$L60*$BG$12)</f>
        <v>0</v>
      </c>
      <c r="BH60" s="182"/>
      <c r="BI60" s="183">
        <f>(BH60*$E60*$F60*$G60*$L60*$BI$12)</f>
        <v>0</v>
      </c>
      <c r="BJ60" s="182"/>
      <c r="BK60" s="183">
        <f>(BJ60*$E60*$F60*$G60*$L60*$BK$12)</f>
        <v>0</v>
      </c>
      <c r="BL60" s="182"/>
      <c r="BM60" s="182">
        <f>(BL60*$E60*$F60*$G60*$L60*$BM$12)</f>
        <v>0</v>
      </c>
      <c r="BN60" s="182"/>
      <c r="BO60" s="182">
        <f>(BN60*$E60*$F60*$G60*$M60*$BO$12)</f>
        <v>0</v>
      </c>
      <c r="BP60" s="182"/>
      <c r="BQ60" s="182">
        <f>(BP60*$E60*$F60*$G60*$M60*$BQ$12)</f>
        <v>0</v>
      </c>
      <c r="BR60" s="182"/>
      <c r="BS60" s="183">
        <f>(BR60*$E60*$F60*$G60*$M60*$BS$12)</f>
        <v>0</v>
      </c>
      <c r="BT60" s="182"/>
      <c r="BU60" s="182">
        <f>(BT60*$E60*$F60*$G60*$M60*$BU$12)</f>
        <v>0</v>
      </c>
      <c r="BV60" s="182"/>
      <c r="BW60" s="182">
        <f>(BV60*$E60*$F60*$G60*$M60*$BW$12)</f>
        <v>0</v>
      </c>
      <c r="BX60" s="182"/>
      <c r="BY60" s="183">
        <f>(BX60*$E60*$F60*$G60*$M60*$BY$12)</f>
        <v>0</v>
      </c>
      <c r="BZ60" s="182"/>
      <c r="CA60" s="187">
        <f>(BZ60*$E60*$F60*$G60*$M60*$CA$12)</f>
        <v>0</v>
      </c>
      <c r="CB60" s="182"/>
      <c r="CC60" s="182">
        <f>(CB60*$E60*$F60*$G60*$L60*$CC$12)</f>
        <v>0</v>
      </c>
      <c r="CD60" s="182"/>
      <c r="CE60" s="182">
        <f>(CD60*$E60*$F60*$G60*$L60*$CE$12)</f>
        <v>0</v>
      </c>
      <c r="CF60" s="182"/>
      <c r="CG60" s="182">
        <f>(CF60*$E60*$F60*$G60*$L60*$CG$12)</f>
        <v>0</v>
      </c>
      <c r="CH60" s="182"/>
      <c r="CI60" s="182">
        <f>(CH60*$E60*$F60*$G60*$M60*$CI$12)</f>
        <v>0</v>
      </c>
      <c r="CJ60" s="182"/>
      <c r="CK60" s="182"/>
      <c r="CL60" s="182"/>
      <c r="CM60" s="183">
        <f>(CL60*$E60*$F60*$G60*$L60*$CM$12)</f>
        <v>0</v>
      </c>
      <c r="CN60" s="182"/>
      <c r="CO60" s="183">
        <f>(CN60*$E60*$F60*$G60*$L60*$CO$12)</f>
        <v>0</v>
      </c>
      <c r="CP60" s="182"/>
      <c r="CQ60" s="182">
        <f>(CP60*$E60*$F60*$G60*$L60*$CQ$12)</f>
        <v>0</v>
      </c>
      <c r="CR60" s="182"/>
      <c r="CS60" s="182">
        <f t="shared" si="178"/>
        <v>0</v>
      </c>
      <c r="CT60" s="182"/>
      <c r="CU60" s="182">
        <f>(CT60*$E60*$F60*$G60*$L60*$CU$12)</f>
        <v>0</v>
      </c>
      <c r="CV60" s="182"/>
      <c r="CW60" s="182">
        <v>0</v>
      </c>
      <c r="CX60" s="182"/>
      <c r="CY60" s="182">
        <f>(CX60*$E60*$F60*$G60*$M60*$CY$12)</f>
        <v>0</v>
      </c>
      <c r="CZ60" s="182"/>
      <c r="DA60" s="182">
        <v>0</v>
      </c>
      <c r="DB60" s="188"/>
      <c r="DC60" s="182">
        <f>(DB60*$E60*$F60*$G60*$M60*$DC$12)</f>
        <v>0</v>
      </c>
      <c r="DD60" s="182"/>
      <c r="DE60" s="187">
        <f t="shared" si="179"/>
        <v>0</v>
      </c>
      <c r="DF60" s="182"/>
      <c r="DG60" s="182">
        <f>(DF60*$E60*$F60*$G60*$M60*$DG$12)</f>
        <v>0</v>
      </c>
      <c r="DH60" s="189"/>
      <c r="DI60" s="182">
        <f>(DH60*$E60*$F60*$G60*$M60*$BY$12)</f>
        <v>0</v>
      </c>
      <c r="DJ60" s="182"/>
      <c r="DK60" s="182">
        <f>(DJ60*$E60*$F60*$G60*$M60*$DK$12)</f>
        <v>0</v>
      </c>
      <c r="DL60" s="182"/>
      <c r="DM60" s="182">
        <f>(DL60*$E60*$F60*$G60*$N60*$DM$12)</f>
        <v>0</v>
      </c>
      <c r="DN60" s="182"/>
      <c r="DO60" s="190">
        <f>(DN60*$E60*$F60*$G60*$O60*$DO$12)</f>
        <v>0</v>
      </c>
      <c r="DP60" s="187"/>
      <c r="DQ60" s="187"/>
      <c r="DR60" s="183">
        <f t="shared" si="180"/>
        <v>22</v>
      </c>
      <c r="DS60" s="183">
        <f t="shared" si="180"/>
        <v>5735689.9291999992</v>
      </c>
      <c r="DT60" s="182">
        <v>22</v>
      </c>
      <c r="DU60" s="182">
        <v>5678900.9199999999</v>
      </c>
      <c r="DV60" s="167">
        <f t="shared" si="5"/>
        <v>0</v>
      </c>
      <c r="DW60" s="167">
        <f t="shared" si="5"/>
        <v>56789.009199999273</v>
      </c>
    </row>
    <row r="61" spans="1:127" ht="15.75" customHeight="1" x14ac:dyDescent="0.25">
      <c r="A61" s="170">
        <v>9</v>
      </c>
      <c r="B61" s="197"/>
      <c r="C61" s="198"/>
      <c r="D61" s="157" t="s">
        <v>218</v>
      </c>
      <c r="E61" s="158">
        <v>25969</v>
      </c>
      <c r="F61" s="199">
        <v>1.1499999999999999</v>
      </c>
      <c r="G61" s="171"/>
      <c r="H61" s="169"/>
      <c r="I61" s="169"/>
      <c r="J61" s="169"/>
      <c r="K61" s="173"/>
      <c r="L61" s="174">
        <v>1.4</v>
      </c>
      <c r="M61" s="174">
        <v>1.68</v>
      </c>
      <c r="N61" s="174">
        <v>2.23</v>
      </c>
      <c r="O61" s="175">
        <v>2.57</v>
      </c>
      <c r="P61" s="166">
        <f t="shared" ref="P61:AD61" si="181">SUM(P62:P71)</f>
        <v>0</v>
      </c>
      <c r="Q61" s="166">
        <f t="shared" si="181"/>
        <v>0</v>
      </c>
      <c r="R61" s="166">
        <f t="shared" si="181"/>
        <v>0</v>
      </c>
      <c r="S61" s="166">
        <f t="shared" si="181"/>
        <v>0</v>
      </c>
      <c r="T61" s="166">
        <f t="shared" si="181"/>
        <v>893</v>
      </c>
      <c r="U61" s="166">
        <f t="shared" si="181"/>
        <v>51906501.723801665</v>
      </c>
      <c r="V61" s="166">
        <f t="shared" si="181"/>
        <v>23</v>
      </c>
      <c r="W61" s="166">
        <f t="shared" si="181"/>
        <v>1250242.3328634026</v>
      </c>
      <c r="X61" s="166">
        <v>0</v>
      </c>
      <c r="Y61" s="166">
        <v>0</v>
      </c>
      <c r="Z61" s="166">
        <v>0</v>
      </c>
      <c r="AA61" s="166">
        <v>0</v>
      </c>
      <c r="AB61" s="166">
        <f t="shared" si="181"/>
        <v>0</v>
      </c>
      <c r="AC61" s="166">
        <f t="shared" si="181"/>
        <v>0</v>
      </c>
      <c r="AD61" s="166">
        <f t="shared" si="181"/>
        <v>0</v>
      </c>
      <c r="AE61" s="166">
        <f t="shared" ref="AE61:CP61" si="182">SUM(AE62:AE71)</f>
        <v>0</v>
      </c>
      <c r="AF61" s="166">
        <f t="shared" si="182"/>
        <v>0</v>
      </c>
      <c r="AG61" s="166">
        <f t="shared" si="182"/>
        <v>0</v>
      </c>
      <c r="AH61" s="166">
        <f t="shared" si="182"/>
        <v>0</v>
      </c>
      <c r="AI61" s="166">
        <f t="shared" si="182"/>
        <v>0</v>
      </c>
      <c r="AJ61" s="166">
        <f>SUM(AJ62:AJ71)</f>
        <v>0</v>
      </c>
      <c r="AK61" s="166">
        <f>SUM(AK62:AK71)</f>
        <v>0</v>
      </c>
      <c r="AL61" s="166">
        <f t="shared" si="182"/>
        <v>0</v>
      </c>
      <c r="AM61" s="166">
        <f t="shared" si="182"/>
        <v>0</v>
      </c>
      <c r="AN61" s="166">
        <f t="shared" si="182"/>
        <v>1</v>
      </c>
      <c r="AO61" s="166">
        <f t="shared" si="182"/>
        <v>48790.557200000003</v>
      </c>
      <c r="AP61" s="166">
        <f t="shared" si="182"/>
        <v>0</v>
      </c>
      <c r="AQ61" s="166">
        <f t="shared" si="182"/>
        <v>0</v>
      </c>
      <c r="AR61" s="166">
        <f t="shared" si="182"/>
        <v>0</v>
      </c>
      <c r="AS61" s="166">
        <f t="shared" si="182"/>
        <v>0</v>
      </c>
      <c r="AT61" s="166">
        <f t="shared" si="182"/>
        <v>200</v>
      </c>
      <c r="AU61" s="166">
        <f t="shared" si="182"/>
        <v>10194902.970183104</v>
      </c>
      <c r="AV61" s="166">
        <f t="shared" si="182"/>
        <v>0</v>
      </c>
      <c r="AW61" s="166">
        <f t="shared" si="182"/>
        <v>0</v>
      </c>
      <c r="AX61" s="166">
        <f t="shared" si="182"/>
        <v>0</v>
      </c>
      <c r="AY61" s="166">
        <f t="shared" si="182"/>
        <v>0</v>
      </c>
      <c r="AZ61" s="166">
        <f t="shared" si="182"/>
        <v>0</v>
      </c>
      <c r="BA61" s="166">
        <f t="shared" si="182"/>
        <v>0</v>
      </c>
      <c r="BB61" s="166">
        <f t="shared" si="182"/>
        <v>0</v>
      </c>
      <c r="BC61" s="166">
        <f t="shared" si="182"/>
        <v>0</v>
      </c>
      <c r="BD61" s="166">
        <f t="shared" si="182"/>
        <v>0</v>
      </c>
      <c r="BE61" s="166">
        <f t="shared" si="182"/>
        <v>0</v>
      </c>
      <c r="BF61" s="166">
        <f t="shared" si="182"/>
        <v>0</v>
      </c>
      <c r="BG61" s="166">
        <f t="shared" si="182"/>
        <v>0</v>
      </c>
      <c r="BH61" s="166">
        <f t="shared" si="182"/>
        <v>0</v>
      </c>
      <c r="BI61" s="166">
        <f t="shared" si="182"/>
        <v>0</v>
      </c>
      <c r="BJ61" s="166">
        <f t="shared" si="182"/>
        <v>0</v>
      </c>
      <c r="BK61" s="166">
        <f t="shared" si="182"/>
        <v>0</v>
      </c>
      <c r="BL61" s="166">
        <f t="shared" si="182"/>
        <v>5</v>
      </c>
      <c r="BM61" s="166">
        <f t="shared" si="182"/>
        <v>246134.48375977998</v>
      </c>
      <c r="BN61" s="166">
        <f t="shared" si="182"/>
        <v>2</v>
      </c>
      <c r="BO61" s="166">
        <f t="shared" si="182"/>
        <v>113594.015304</v>
      </c>
      <c r="BP61" s="166">
        <f t="shared" si="182"/>
        <v>0</v>
      </c>
      <c r="BQ61" s="166">
        <f t="shared" si="182"/>
        <v>0</v>
      </c>
      <c r="BR61" s="166">
        <f t="shared" si="182"/>
        <v>0</v>
      </c>
      <c r="BS61" s="166">
        <f t="shared" si="182"/>
        <v>0</v>
      </c>
      <c r="BT61" s="166">
        <f t="shared" si="182"/>
        <v>12</v>
      </c>
      <c r="BU61" s="166">
        <f t="shared" si="182"/>
        <v>586329.9738395724</v>
      </c>
      <c r="BV61" s="166">
        <f t="shared" si="182"/>
        <v>0</v>
      </c>
      <c r="BW61" s="166">
        <f t="shared" si="182"/>
        <v>0</v>
      </c>
      <c r="BX61" s="166">
        <f t="shared" si="182"/>
        <v>11</v>
      </c>
      <c r="BY61" s="166">
        <f t="shared" si="182"/>
        <v>671953.97792275192</v>
      </c>
      <c r="BZ61" s="166">
        <f t="shared" si="182"/>
        <v>5</v>
      </c>
      <c r="CA61" s="166">
        <f t="shared" si="182"/>
        <v>276539.33382809995</v>
      </c>
      <c r="CB61" s="166">
        <f t="shared" si="182"/>
        <v>0</v>
      </c>
      <c r="CC61" s="166">
        <f t="shared" si="182"/>
        <v>0</v>
      </c>
      <c r="CD61" s="166">
        <f t="shared" si="182"/>
        <v>0</v>
      </c>
      <c r="CE61" s="166">
        <f t="shared" si="182"/>
        <v>0</v>
      </c>
      <c r="CF61" s="166">
        <f t="shared" si="182"/>
        <v>0</v>
      </c>
      <c r="CG61" s="166">
        <f t="shared" si="182"/>
        <v>0</v>
      </c>
      <c r="CH61" s="166">
        <f t="shared" si="182"/>
        <v>4</v>
      </c>
      <c r="CI61" s="166">
        <f t="shared" si="182"/>
        <v>209923.06133520958</v>
      </c>
      <c r="CJ61" s="166">
        <f t="shared" si="182"/>
        <v>0</v>
      </c>
      <c r="CK61" s="166">
        <f t="shared" si="182"/>
        <v>0</v>
      </c>
      <c r="CL61" s="166">
        <f t="shared" si="182"/>
        <v>0</v>
      </c>
      <c r="CM61" s="166">
        <f t="shared" si="182"/>
        <v>0</v>
      </c>
      <c r="CN61" s="166">
        <f t="shared" si="182"/>
        <v>0</v>
      </c>
      <c r="CO61" s="166">
        <f t="shared" si="182"/>
        <v>0</v>
      </c>
      <c r="CP61" s="166">
        <f t="shared" si="182"/>
        <v>6</v>
      </c>
      <c r="CQ61" s="166">
        <f t="shared" ref="CQ61:DQ61" si="183">SUM(CQ62:CQ71)</f>
        <v>234515.42702783999</v>
      </c>
      <c r="CR61" s="166">
        <f t="shared" si="183"/>
        <v>0</v>
      </c>
      <c r="CS61" s="166">
        <f t="shared" si="183"/>
        <v>0</v>
      </c>
      <c r="CT61" s="166">
        <f t="shared" si="183"/>
        <v>1</v>
      </c>
      <c r="CU61" s="166">
        <f t="shared" si="183"/>
        <v>37021.791260579994</v>
      </c>
      <c r="CV61" s="166">
        <f t="shared" si="183"/>
        <v>26</v>
      </c>
      <c r="CW61" s="166">
        <v>1156336.17</v>
      </c>
      <c r="CX61" s="166">
        <f t="shared" si="183"/>
        <v>4</v>
      </c>
      <c r="CY61" s="166">
        <f t="shared" si="183"/>
        <v>182681.32214102396</v>
      </c>
      <c r="CZ61" s="166">
        <f t="shared" si="183"/>
        <v>0</v>
      </c>
      <c r="DA61" s="166">
        <v>0</v>
      </c>
      <c r="DB61" s="166">
        <f t="shared" si="183"/>
        <v>0</v>
      </c>
      <c r="DC61" s="166">
        <f t="shared" si="183"/>
        <v>0</v>
      </c>
      <c r="DD61" s="166">
        <f t="shared" si="183"/>
        <v>0</v>
      </c>
      <c r="DE61" s="166">
        <f t="shared" si="183"/>
        <v>0</v>
      </c>
      <c r="DF61" s="166">
        <f t="shared" si="183"/>
        <v>0</v>
      </c>
      <c r="DG61" s="166">
        <f t="shared" si="183"/>
        <v>0</v>
      </c>
      <c r="DH61" s="166">
        <f t="shared" si="183"/>
        <v>0</v>
      </c>
      <c r="DI61" s="166">
        <f t="shared" si="183"/>
        <v>0</v>
      </c>
      <c r="DJ61" s="166">
        <f t="shared" si="183"/>
        <v>0</v>
      </c>
      <c r="DK61" s="166">
        <f t="shared" si="183"/>
        <v>0</v>
      </c>
      <c r="DL61" s="166">
        <f t="shared" si="183"/>
        <v>0</v>
      </c>
      <c r="DM61" s="166">
        <f t="shared" si="183"/>
        <v>0</v>
      </c>
      <c r="DN61" s="166">
        <f t="shared" si="183"/>
        <v>0</v>
      </c>
      <c r="DO61" s="166">
        <f t="shared" si="183"/>
        <v>0</v>
      </c>
      <c r="DP61" s="166">
        <f t="shared" si="183"/>
        <v>0</v>
      </c>
      <c r="DQ61" s="166">
        <f t="shared" si="183"/>
        <v>0</v>
      </c>
      <c r="DR61" s="166">
        <f>SUM(DR62:DR71)</f>
        <v>1193</v>
      </c>
      <c r="DS61" s="166">
        <f t="shared" ref="DS61" si="184">SUM(DS62:DS71)</f>
        <v>67115467.140467018</v>
      </c>
      <c r="DT61" s="166">
        <v>1186</v>
      </c>
      <c r="DU61" s="166">
        <v>64694325.25025332</v>
      </c>
      <c r="DV61" s="167">
        <f t="shared" si="5"/>
        <v>7</v>
      </c>
      <c r="DW61" s="167">
        <f t="shared" si="5"/>
        <v>2421141.8902136981</v>
      </c>
    </row>
    <row r="62" spans="1:127" ht="30" customHeight="1" x14ac:dyDescent="0.25">
      <c r="A62" s="154"/>
      <c r="B62" s="176">
        <v>38</v>
      </c>
      <c r="C62" s="177" t="s">
        <v>219</v>
      </c>
      <c r="D62" s="178" t="s">
        <v>220</v>
      </c>
      <c r="E62" s="158">
        <v>25969</v>
      </c>
      <c r="F62" s="179">
        <v>0.97</v>
      </c>
      <c r="G62" s="168">
        <v>1</v>
      </c>
      <c r="H62" s="169"/>
      <c r="I62" s="169"/>
      <c r="J62" s="169"/>
      <c r="K62" s="106"/>
      <c r="L62" s="180">
        <v>1.4</v>
      </c>
      <c r="M62" s="180">
        <v>1.68</v>
      </c>
      <c r="N62" s="180">
        <v>2.23</v>
      </c>
      <c r="O62" s="181">
        <v>2.57</v>
      </c>
      <c r="P62" s="182"/>
      <c r="Q62" s="182">
        <f>(P62*$E62*$F62*$G62*$L62*$Q$12)</f>
        <v>0</v>
      </c>
      <c r="R62" s="182"/>
      <c r="S62" s="182">
        <f>(R62*$E62*$F62*$G62*$L62*$S$12)</f>
        <v>0</v>
      </c>
      <c r="T62" s="182">
        <f>431+64</f>
        <v>495</v>
      </c>
      <c r="U62" s="182">
        <f t="shared" ref="U62" si="185">(T62/12*11*$E62*$F62*$G62*$L62*$U$12)+(T62/12*1*$E62*$F62*$G62*$L62*$U$14)</f>
        <v>22038984.631124996</v>
      </c>
      <c r="V62" s="182">
        <v>1</v>
      </c>
      <c r="W62" s="183">
        <f>(V62*$E62*$F62*$G62*$L62*$W$12)/12*10+(V62*$E62*$F62*$G62*$L62*$W$13)/12*1+(V62*$E62*$F62*$G62*$L62*$W$14*$W$15)/12*1</f>
        <v>44849.66948511466</v>
      </c>
      <c r="X62" s="183"/>
      <c r="Y62" s="183">
        <v>0</v>
      </c>
      <c r="Z62" s="183"/>
      <c r="AA62" s="183">
        <v>0</v>
      </c>
      <c r="AB62" s="182">
        <f t="shared" ref="AB62:AC71" si="186">X62+Z62</f>
        <v>0</v>
      </c>
      <c r="AC62" s="182">
        <f t="shared" si="186"/>
        <v>0</v>
      </c>
      <c r="AD62" s="182"/>
      <c r="AE62" s="182">
        <f>(AD62*$E62*$F62*$G62*$L62*$AE$12)</f>
        <v>0</v>
      </c>
      <c r="AF62" s="182"/>
      <c r="AG62" s="182"/>
      <c r="AH62" s="182"/>
      <c r="AI62" s="182">
        <f>(AH62*$E62*$F62*$G62*$L62*$AI$12)</f>
        <v>0</v>
      </c>
      <c r="AJ62" s="182"/>
      <c r="AK62" s="182"/>
      <c r="AL62" s="182"/>
      <c r="AM62" s="182"/>
      <c r="AN62" s="184"/>
      <c r="AO62" s="182">
        <f>(AN62*$E62*$F62*$G62*$L62*$AO$12)</f>
        <v>0</v>
      </c>
      <c r="AP62" s="182"/>
      <c r="AQ62" s="183">
        <f>(AP62*$E62*$F62*$G62*$L62*$AQ$12)</f>
        <v>0</v>
      </c>
      <c r="AR62" s="182"/>
      <c r="AS62" s="182">
        <f t="shared" ref="AS62:AS63" si="187">(AR62*$E62*$F62*$G62*$L62*$AS$12)/12*10+(AR62*$E62*$F62*$G62*$L62*$AS$13)/12*1+(AR62*$E62*$F62*$G62*$L62*$AS$14)/12*1</f>
        <v>0</v>
      </c>
      <c r="AT62" s="182">
        <v>163</v>
      </c>
      <c r="AU62" s="182">
        <f t="shared" ref="AU62" si="188">(AT62*$E62*$F62*$G62*$M62*$AU$12)/12*10+(AT62*$E62*$F62*$G62*$M62*$AU$13)/12+(AT62*$E62*$F62*$G62*$M62*$AU$14*$AU$15)/12</f>
        <v>7949263.7719096644</v>
      </c>
      <c r="AV62" s="188"/>
      <c r="AW62" s="182">
        <f>(AV62*$E62*$F62*$G62*$M62*$AW$12)</f>
        <v>0</v>
      </c>
      <c r="AX62" s="182"/>
      <c r="AY62" s="187">
        <f>(AX62*$E62*$F62*$G62*$M62*$AY$12)</f>
        <v>0</v>
      </c>
      <c r="AZ62" s="209"/>
      <c r="BA62" s="182">
        <f>(AZ62*$E62*$F62*$G62*$L62*$BA$12)</f>
        <v>0</v>
      </c>
      <c r="BB62" s="182"/>
      <c r="BC62" s="182">
        <f>(BB62*$E62*$F62*$G62*$L62*$BC$12)</f>
        <v>0</v>
      </c>
      <c r="BD62" s="182"/>
      <c r="BE62" s="182">
        <f>(BD62*$E62*$F62*$G62*$L62*$BE$12)</f>
        <v>0</v>
      </c>
      <c r="BF62" s="182"/>
      <c r="BG62" s="182">
        <f>(BF62*$E62*$F62*$G62*$L62*$BG$12)</f>
        <v>0</v>
      </c>
      <c r="BH62" s="182"/>
      <c r="BI62" s="183">
        <f>(BH62*$E62*$F62*$G62*$L62*$BI$12)</f>
        <v>0</v>
      </c>
      <c r="BJ62" s="182"/>
      <c r="BK62" s="183">
        <f>(BJ62*$E62*$F62*$G62*$L62*$BK$12)</f>
        <v>0</v>
      </c>
      <c r="BL62" s="182">
        <v>5</v>
      </c>
      <c r="BM62" s="182">
        <f t="shared" ref="BM62" si="189">(BL62/12*11*$E62*$F62*$G62*$L62*$BM$12)+(BL62/12*$E62*$F62*$G62*$L62*$BM$12*$BM$15)</f>
        <v>246134.48375977998</v>
      </c>
      <c r="BN62" s="182"/>
      <c r="BO62" s="182">
        <f>(BN62*$E62*$F62*$G62*$M62*$BO$12)</f>
        <v>0</v>
      </c>
      <c r="BP62" s="182"/>
      <c r="BQ62" s="182">
        <f>(BP62*$E62*$F62*$G62*$M62*$BQ$12)</f>
        <v>0</v>
      </c>
      <c r="BR62" s="182"/>
      <c r="BS62" s="183">
        <f>(BR62*$E62*$F62*$G62*$M62*$BS$12)</f>
        <v>0</v>
      </c>
      <c r="BT62" s="182">
        <v>10</v>
      </c>
      <c r="BU62" s="182">
        <f t="shared" ref="BU62" si="190">(BT62*$E62*$F62*$G62*$M62*$BU$12)/12*10+(BT62*$E62*$F62*$G62*$M62*$BU$13)/12+(BT62*$E62*$F62*$G62*$M62*$BU$13*$BU$15)/12</f>
        <v>471435.14219043194</v>
      </c>
      <c r="BV62" s="182"/>
      <c r="BW62" s="182">
        <f>(BV62*$E62*$F62*$G62*$M62*$BW$12)</f>
        <v>0</v>
      </c>
      <c r="BX62" s="182">
        <v>8</v>
      </c>
      <c r="BY62" s="183">
        <f t="shared" ref="BY62" si="191">(BX62*$E62*$F62*$G62*$M62*$BY$12)/12*11+(BX62*$E62*$F62*$G62*$M62*$BY$12*$BY$15)/12</f>
        <v>456599.20040985598</v>
      </c>
      <c r="BZ62" s="182">
        <v>5</v>
      </c>
      <c r="CA62" s="187">
        <f t="shared" ref="CA62" si="192">(BZ62*$E62*$F62*$G62*$M62*$CA$12)/12*11+(BZ62*$E62*$F62*$G62*$M62*$CA$12*$CA$15)/12</f>
        <v>276539.33382809995</v>
      </c>
      <c r="CB62" s="182"/>
      <c r="CC62" s="182">
        <f>(CB62*$E62*$F62*$G62*$L62*$CC$12)</f>
        <v>0</v>
      </c>
      <c r="CD62" s="182"/>
      <c r="CE62" s="182">
        <f>(CD62*$E62*$F62*$G62*$L62*$CE$12)</f>
        <v>0</v>
      </c>
      <c r="CF62" s="182"/>
      <c r="CG62" s="182">
        <f>(CF62*$E62*$F62*$G62*$L62*$CG$12)</f>
        <v>0</v>
      </c>
      <c r="CH62" s="182">
        <v>2</v>
      </c>
      <c r="CI62" s="182">
        <f t="shared" ref="CI62" si="193">(CH62*$E62*$F62*$G62*$M62*$CI$12)/12*11+(CH62*$E62*$F62*$G62*$M62*$CI$12*$CI$15)/12</f>
        <v>94323.733188888</v>
      </c>
      <c r="CJ62" s="182"/>
      <c r="CK62" s="182"/>
      <c r="CL62" s="182"/>
      <c r="CM62" s="183">
        <f>(CL62*$E62*$F62*$G62*$L62*$CM$12)</f>
        <v>0</v>
      </c>
      <c r="CN62" s="182"/>
      <c r="CO62" s="183">
        <f>(CN62*$E62*$F62*$G62*$L62*$CO$12)</f>
        <v>0</v>
      </c>
      <c r="CP62" s="182">
        <v>6</v>
      </c>
      <c r="CQ62" s="182">
        <f>(CP62*$E62*$F62*$G62*$L62*$CQ$12)/12*11+(CP62*$E62*$F62*$G62*$L62*$CQ$12*$CQ$15)/12</f>
        <v>234515.42702783999</v>
      </c>
      <c r="CR62" s="182"/>
      <c r="CS62" s="182">
        <f>(CR62*$E62*$F62*$G62*$L62*$CS$12)</f>
        <v>0</v>
      </c>
      <c r="CT62" s="182">
        <v>1</v>
      </c>
      <c r="CU62" s="182">
        <f t="shared" ref="CU62" si="194">(CT62*$E62*$F62*$G62*$L62*$CU$12)/12*11+(CT62*$E62*$F62*$G62*$L62*$CU$12*$CU$15)/12</f>
        <v>37021.791260579994</v>
      </c>
      <c r="CV62" s="182">
        <v>24</v>
      </c>
      <c r="CW62" s="182">
        <v>1044212.4199999998</v>
      </c>
      <c r="CX62" s="182">
        <v>4</v>
      </c>
      <c r="CY62" s="182">
        <f t="shared" ref="CY62" si="195">(CX62/12*11*$E62*$F62*$G62*$M62*$CY$12)+(CX62/12*$E62*$F62*$G62*$M62*$CY$15*$CY$12)</f>
        <v>182681.32214102396</v>
      </c>
      <c r="CZ62" s="182"/>
      <c r="DA62" s="182">
        <v>0</v>
      </c>
      <c r="DB62" s="188"/>
      <c r="DC62" s="182">
        <f>(DB62*$E62*$F62*$G62*$M62*$DC$12)</f>
        <v>0</v>
      </c>
      <c r="DD62" s="182"/>
      <c r="DE62" s="187">
        <f t="shared" ref="DE62:DE63" si="196">(DD62*$E62*$F62*$G62*$M62*DE$12)</f>
        <v>0</v>
      </c>
      <c r="DF62" s="182"/>
      <c r="DG62" s="182">
        <f>(DF62*$E62*$F62*$G62*$M62*$DG$12)</f>
        <v>0</v>
      </c>
      <c r="DH62" s="189"/>
      <c r="DI62" s="182">
        <f>(DH62*$E62*$F62*$G62*$M62*$BY$12)</f>
        <v>0</v>
      </c>
      <c r="DJ62" s="182"/>
      <c r="DK62" s="182">
        <f>(DJ62*$E62*$F62*$G62*$M62*$DK$12)</f>
        <v>0</v>
      </c>
      <c r="DL62" s="182"/>
      <c r="DM62" s="182">
        <f>(DL62*$E62*$F62*$G62*$N62*$DM$12)</f>
        <v>0</v>
      </c>
      <c r="DN62" s="182"/>
      <c r="DO62" s="190">
        <f>(DN62*$E62*$F62*$G62*$O62*$DO$12)</f>
        <v>0</v>
      </c>
      <c r="DP62" s="187"/>
      <c r="DQ62" s="187"/>
      <c r="DR62" s="183">
        <f t="shared" ref="DR62:DS71" si="197">SUM(P62,R62,T62,V62,AB62,AJ62,AD62,AF62,AH62,AL62,AN62,AP62,AV62,AZ62,BB62,CF62,AR62,BF62,BH62,BJ62,CT62,BL62,BN62,AT62,BR62,AX62,CV62,BT62,CX62,BV62,BX62,BZ62,CH62,CB62,CD62,CJ62,CL62,CN62,CP62,CR62,CZ62,DB62,BP62,BD62,DD62,DF62,DH62,DJ62,DL62,DN62,DP62)</f>
        <v>724</v>
      </c>
      <c r="DS62" s="183">
        <f t="shared" si="197"/>
        <v>33076560.926326271</v>
      </c>
      <c r="DT62" s="182">
        <v>724</v>
      </c>
      <c r="DU62" s="182">
        <v>32479767.250773326</v>
      </c>
      <c r="DV62" s="167">
        <f t="shared" si="5"/>
        <v>0</v>
      </c>
      <c r="DW62" s="167">
        <f t="shared" si="5"/>
        <v>596793.67555294558</v>
      </c>
    </row>
    <row r="63" spans="1:127" ht="30" customHeight="1" x14ac:dyDescent="0.25">
      <c r="A63" s="154"/>
      <c r="B63" s="176">
        <v>39</v>
      </c>
      <c r="C63" s="177" t="s">
        <v>221</v>
      </c>
      <c r="D63" s="178" t="s">
        <v>222</v>
      </c>
      <c r="E63" s="158">
        <v>25969</v>
      </c>
      <c r="F63" s="179">
        <v>1.1100000000000001</v>
      </c>
      <c r="G63" s="168">
        <v>1</v>
      </c>
      <c r="H63" s="169">
        <v>1.4</v>
      </c>
      <c r="I63" s="169"/>
      <c r="J63" s="169"/>
      <c r="K63" s="106"/>
      <c r="L63" s="180">
        <v>1.4</v>
      </c>
      <c r="M63" s="180">
        <v>1.68</v>
      </c>
      <c r="N63" s="180">
        <v>2.23</v>
      </c>
      <c r="O63" s="181">
        <v>2.57</v>
      </c>
      <c r="P63" s="182"/>
      <c r="Q63" s="182">
        <f>(P63*$E63*$F63*$G63*$L63*$Q$12)</f>
        <v>0</v>
      </c>
      <c r="R63" s="182"/>
      <c r="S63" s="182">
        <f>(R63*$E63*$F63*$G63*$L63*$S$12)</f>
        <v>0</v>
      </c>
      <c r="T63" s="182">
        <v>100</v>
      </c>
      <c r="U63" s="182">
        <f>(T63/12*11*$E63*$F63*$G63*$L63*$U$12)+(T63/12*1*$E63*$F63*$H63*$L63*$U$14)</f>
        <v>5283250.2204999998</v>
      </c>
      <c r="V63" s="182"/>
      <c r="W63" s="183">
        <f>(V63*$E63*$F63*$G63*$L63*$W$12)</f>
        <v>0</v>
      </c>
      <c r="X63" s="183"/>
      <c r="Y63" s="183">
        <v>0</v>
      </c>
      <c r="Z63" s="183"/>
      <c r="AA63" s="183">
        <v>0</v>
      </c>
      <c r="AB63" s="182">
        <f t="shared" si="186"/>
        <v>0</v>
      </c>
      <c r="AC63" s="182">
        <f t="shared" si="186"/>
        <v>0</v>
      </c>
      <c r="AD63" s="182"/>
      <c r="AE63" s="182">
        <f>(AD63*$E63*$F63*$G63*$L63*$AE$12)</f>
        <v>0</v>
      </c>
      <c r="AF63" s="182"/>
      <c r="AG63" s="182"/>
      <c r="AH63" s="182"/>
      <c r="AI63" s="182">
        <f>(AH63*$E63*$F63*$G63*$L63*$AI$12)</f>
        <v>0</v>
      </c>
      <c r="AJ63" s="182"/>
      <c r="AK63" s="182"/>
      <c r="AL63" s="182"/>
      <c r="AM63" s="182"/>
      <c r="AN63" s="184"/>
      <c r="AO63" s="182">
        <f>(AN63*$E63*$F63*$G63*$L63*$AO$12)</f>
        <v>0</v>
      </c>
      <c r="AP63" s="182"/>
      <c r="AQ63" s="183">
        <f>(AP63*$E63*$F63*$G63*$L63*$AQ$12)</f>
        <v>0</v>
      </c>
      <c r="AR63" s="182"/>
      <c r="AS63" s="182">
        <f t="shared" si="187"/>
        <v>0</v>
      </c>
      <c r="AT63" s="182">
        <v>8</v>
      </c>
      <c r="AU63" s="182">
        <f t="shared" ref="AU63" si="198">(AT63*$E63*$F63*$G63*$M63*$AU$12)/12*10+(AT63*$E63*$F63*$G63*$M63*$AU$13)/12+(AT63*$E63*$F63*$H63*$M63*$AU$14*$AU$15)/12</f>
        <v>466846.2550683053</v>
      </c>
      <c r="AV63" s="188"/>
      <c r="AW63" s="182">
        <f>(AV63*$E63*$F63*$G63*$M63*$AW$12)</f>
        <v>0</v>
      </c>
      <c r="AX63" s="182"/>
      <c r="AY63" s="187">
        <f>(AX63*$E63*$F63*$G63*$M63*$AY$12)</f>
        <v>0</v>
      </c>
      <c r="AZ63" s="182"/>
      <c r="BA63" s="182">
        <f>(AZ63*$E63*$F63*$G63*$L63*$BA$12)</f>
        <v>0</v>
      </c>
      <c r="BB63" s="182"/>
      <c r="BC63" s="182">
        <f>(BB63*$E63*$F63*$G63*$L63*$BC$12)</f>
        <v>0</v>
      </c>
      <c r="BD63" s="182"/>
      <c r="BE63" s="182">
        <f>(BD63*$E63*$F63*$G63*$L63*$BE$12)</f>
        <v>0</v>
      </c>
      <c r="BF63" s="182"/>
      <c r="BG63" s="182">
        <f>(BF63*$E63*$F63*$G63*$L63*$BG$12)</f>
        <v>0</v>
      </c>
      <c r="BH63" s="182"/>
      <c r="BI63" s="183">
        <f>(BH63*$E63*$F63*$G63*$L63*$BI$12)</f>
        <v>0</v>
      </c>
      <c r="BJ63" s="182"/>
      <c r="BK63" s="183">
        <f>(BJ63*$E63*$F63*$G63*$L63*$BK$12)</f>
        <v>0</v>
      </c>
      <c r="BL63" s="182"/>
      <c r="BM63" s="182">
        <f>(BL63*$E63*$F63*$G63*$L63*$BM$12)</f>
        <v>0</v>
      </c>
      <c r="BN63" s="182">
        <v>1</v>
      </c>
      <c r="BO63" s="182">
        <f>(BN63/12*11*$E63*$F63*$G63*$M63*$BO$12)+(BN63/12*1*$E63*$F63*$H63*$M63*$BO$12)</f>
        <v>55045.346664000012</v>
      </c>
      <c r="BP63" s="182"/>
      <c r="BQ63" s="182">
        <f>(BP63*$E63*$F63*$G63*$M63*$BQ$12)</f>
        <v>0</v>
      </c>
      <c r="BR63" s="182"/>
      <c r="BS63" s="183">
        <f>(BR63*$E63*$F63*$G63*$M63*$BS$12)</f>
        <v>0</v>
      </c>
      <c r="BT63" s="182">
        <v>2</v>
      </c>
      <c r="BU63" s="182">
        <f t="shared" ref="BU63" si="199">(BT63*$E63*$F63*$G63*$M63*$BU$12)/12*10+(BT63*$E63*$F63*$G63*$M63*$BU$13)/12*1+(BT63*$E63*$F63*$H63*$M63*$BU$13*$BU$15)/12*1</f>
        <v>114894.83164914047</v>
      </c>
      <c r="BV63" s="182"/>
      <c r="BW63" s="182">
        <f>(BV63*$E63*$F63*$G63*$M63*$BW$12)</f>
        <v>0</v>
      </c>
      <c r="BX63" s="182"/>
      <c r="BY63" s="183">
        <f>(BX63*$E63*$F63*$G63*$M63*$BY$12)</f>
        <v>0</v>
      </c>
      <c r="BZ63" s="182"/>
      <c r="CA63" s="187">
        <f>(BZ63*$E63*$F63*$G63*$M63*$CA$12)</f>
        <v>0</v>
      </c>
      <c r="CB63" s="182"/>
      <c r="CC63" s="182">
        <f>(CB63*$E63*$F63*$G63*$L63*$CC$12)</f>
        <v>0</v>
      </c>
      <c r="CD63" s="182"/>
      <c r="CE63" s="182">
        <f>(CD63*$E63*$F63*$G63*$L63*$CE$12)</f>
        <v>0</v>
      </c>
      <c r="CF63" s="182"/>
      <c r="CG63" s="182">
        <f>(CF63*$E63*$F63*$G63*$L63*$CG$12)</f>
        <v>0</v>
      </c>
      <c r="CH63" s="182">
        <v>2</v>
      </c>
      <c r="CI63" s="182">
        <f t="shared" ref="CI63" si="200">(CH63/12*11*$E63*$F63*$G63*$M63*$CI$12)+(CH63/12*1*$E63*$F63*$H63*$M63*$CI$12*$CI$15)</f>
        <v>115599.3281463216</v>
      </c>
      <c r="CJ63" s="182"/>
      <c r="CK63" s="182"/>
      <c r="CL63" s="182"/>
      <c r="CM63" s="183">
        <f>(CL63*$E63*$F63*$G63*$L63*$CM$12)</f>
        <v>0</v>
      </c>
      <c r="CN63" s="182"/>
      <c r="CO63" s="183">
        <f>(CN63*$E63*$F63*$G63*$L63*$CO$12)</f>
        <v>0</v>
      </c>
      <c r="CP63" s="182"/>
      <c r="CQ63" s="182">
        <f>(CP63*$E63*$F63*$G63*$L63*$CQ$12)</f>
        <v>0</v>
      </c>
      <c r="CR63" s="182"/>
      <c r="CS63" s="182">
        <f>(CR63*$E63*$F63*$G63*$L63*$CS$12)</f>
        <v>0</v>
      </c>
      <c r="CT63" s="182"/>
      <c r="CU63" s="182">
        <f>(CT63*$E63*$F63*$G63*$L63*$CU$12)</f>
        <v>0</v>
      </c>
      <c r="CV63" s="182"/>
      <c r="CW63" s="182">
        <v>0</v>
      </c>
      <c r="CX63" s="182"/>
      <c r="CY63" s="182">
        <f>(CX63*$E63*$F63*$G63*$M63*$CY$12)</f>
        <v>0</v>
      </c>
      <c r="CZ63" s="182"/>
      <c r="DA63" s="182">
        <v>0</v>
      </c>
      <c r="DB63" s="188"/>
      <c r="DC63" s="182">
        <f>(DB63*$E63*$F63*$G63*$M63*$DC$12)</f>
        <v>0</v>
      </c>
      <c r="DD63" s="182"/>
      <c r="DE63" s="187">
        <f t="shared" si="196"/>
        <v>0</v>
      </c>
      <c r="DF63" s="182"/>
      <c r="DG63" s="182">
        <f>(DF63*$E63*$F63*$G63*$M63*$DG$12)</f>
        <v>0</v>
      </c>
      <c r="DH63" s="189"/>
      <c r="DI63" s="182">
        <f>(DH63*$E63*$F63*$G63*$M63*$BY$12)</f>
        <v>0</v>
      </c>
      <c r="DJ63" s="182"/>
      <c r="DK63" s="182">
        <f>(DJ63*$E63*$F63*$G63*$M63*$DK$12)</f>
        <v>0</v>
      </c>
      <c r="DL63" s="182"/>
      <c r="DM63" s="182">
        <f>(DL63*$E63*$F63*$G63*$N63*$DM$12)</f>
        <v>0</v>
      </c>
      <c r="DN63" s="182"/>
      <c r="DO63" s="190">
        <f>(DN63*$E63*$F63*$G63*$O63*$DO$12)</f>
        <v>0</v>
      </c>
      <c r="DP63" s="187"/>
      <c r="DQ63" s="187"/>
      <c r="DR63" s="183">
        <f t="shared" si="197"/>
        <v>113</v>
      </c>
      <c r="DS63" s="183">
        <f t="shared" si="197"/>
        <v>6035635.9820277672</v>
      </c>
      <c r="DT63" s="182">
        <v>113</v>
      </c>
      <c r="DU63" s="182">
        <v>5730527.2920000013</v>
      </c>
      <c r="DV63" s="167">
        <f t="shared" si="5"/>
        <v>0</v>
      </c>
      <c r="DW63" s="167">
        <f t="shared" si="5"/>
        <v>305108.69002776593</v>
      </c>
    </row>
    <row r="64" spans="1:127" ht="30" customHeight="1" x14ac:dyDescent="0.25">
      <c r="A64" s="225"/>
      <c r="B64" s="176">
        <v>40</v>
      </c>
      <c r="C64" s="177" t="s">
        <v>223</v>
      </c>
      <c r="D64" s="178" t="s">
        <v>224</v>
      </c>
      <c r="E64" s="158">
        <v>25969</v>
      </c>
      <c r="F64" s="179">
        <v>1.97</v>
      </c>
      <c r="G64" s="168">
        <v>1</v>
      </c>
      <c r="H64" s="169"/>
      <c r="I64" s="169"/>
      <c r="J64" s="169"/>
      <c r="K64" s="106"/>
      <c r="L64" s="180">
        <v>1.4</v>
      </c>
      <c r="M64" s="180">
        <v>1.68</v>
      </c>
      <c r="N64" s="180">
        <v>2.23</v>
      </c>
      <c r="O64" s="181">
        <v>2.57</v>
      </c>
      <c r="P64" s="182"/>
      <c r="Q64" s="182">
        <f t="shared" ref="Q64:Q65" si="201">(P64*$E64*$F64*$G64*$L64)</f>
        <v>0</v>
      </c>
      <c r="R64" s="182"/>
      <c r="S64" s="187">
        <f t="shared" ref="S64:S65" si="202">(R64*$E64*$F64*$G64*$L64)</f>
        <v>0</v>
      </c>
      <c r="T64" s="182">
        <v>2</v>
      </c>
      <c r="U64" s="182">
        <f t="shared" ref="U64:U65" si="203">(T64*$E64*$F64*$G64*$L64)</f>
        <v>143245.00399999999</v>
      </c>
      <c r="V64" s="182"/>
      <c r="W64" s="182">
        <f t="shared" ref="W64:W65" si="204">(V64*$E64*$F64*$G64*$L64)</f>
        <v>0</v>
      </c>
      <c r="X64" s="182"/>
      <c r="Y64" s="182">
        <v>0</v>
      </c>
      <c r="Z64" s="182"/>
      <c r="AA64" s="182">
        <v>0</v>
      </c>
      <c r="AB64" s="182">
        <f t="shared" si="186"/>
        <v>0</v>
      </c>
      <c r="AC64" s="182">
        <f t="shared" si="186"/>
        <v>0</v>
      </c>
      <c r="AD64" s="182"/>
      <c r="AE64" s="182">
        <f t="shared" ref="AE64:AE65" si="205">(AD64*$E64*$F64*$G64*$L64)</f>
        <v>0</v>
      </c>
      <c r="AF64" s="182"/>
      <c r="AG64" s="182"/>
      <c r="AH64" s="182"/>
      <c r="AI64" s="182">
        <f t="shared" ref="AI64:AI65" si="206">(AH64*$E64*$F64*$G64*$L64)</f>
        <v>0</v>
      </c>
      <c r="AJ64" s="182"/>
      <c r="AK64" s="182"/>
      <c r="AL64" s="182"/>
      <c r="AM64" s="182"/>
      <c r="AN64" s="184"/>
      <c r="AO64" s="182">
        <f t="shared" ref="AO64:AO65" si="207">(AN64*$E64*$F64*$G64*$L64)</f>
        <v>0</v>
      </c>
      <c r="AP64" s="182"/>
      <c r="AQ64" s="182">
        <f t="shared" ref="AQ64:AQ65" si="208">(AP64*$E64*$F64*$G64*$L64)</f>
        <v>0</v>
      </c>
      <c r="AR64" s="182"/>
      <c r="AS64" s="182">
        <f t="shared" ref="AS64:AS65" si="209">(AR64*$E64*$F64*$G64*$L64)</f>
        <v>0</v>
      </c>
      <c r="AT64" s="182"/>
      <c r="AU64" s="183">
        <f t="shared" ref="AU64:AU65" si="210">(AT64*$E64*$F64*$G64*$M64)</f>
        <v>0</v>
      </c>
      <c r="AV64" s="188"/>
      <c r="AW64" s="182">
        <f t="shared" ref="AW64:AW65" si="211">(AV64*$E64*$F64*$G64*$M64)</f>
        <v>0</v>
      </c>
      <c r="AX64" s="182"/>
      <c r="AY64" s="187">
        <f t="shared" ref="AY64:AY65" si="212">(AX64*$E64*$F64*$G64*$M64)</f>
        <v>0</v>
      </c>
      <c r="AZ64" s="182"/>
      <c r="BA64" s="182">
        <f>(AZ64*$E64*$F64*$G64*$L64*AO$12)</f>
        <v>0</v>
      </c>
      <c r="BB64" s="182"/>
      <c r="BC64" s="182">
        <f t="shared" ref="BC64:BC65" si="213">(BB64*$E64*$F64*$G64*$L64*BC$12)</f>
        <v>0</v>
      </c>
      <c r="BD64" s="182"/>
      <c r="BE64" s="182">
        <f>(BD64*$E64*$F64*$G64*$L64*BE$12)</f>
        <v>0</v>
      </c>
      <c r="BF64" s="182"/>
      <c r="BG64" s="182">
        <f t="shared" ref="BG64:BI65" si="214">(BF64*$E64*$F64*$G64*$L64)</f>
        <v>0</v>
      </c>
      <c r="BH64" s="182"/>
      <c r="BI64" s="182">
        <f t="shared" si="214"/>
        <v>0</v>
      </c>
      <c r="BJ64" s="182"/>
      <c r="BK64" s="182"/>
      <c r="BL64" s="182"/>
      <c r="BM64" s="182">
        <f t="shared" ref="BM64:BM65" si="215">(BL64*$E64*$F64*$G64*$L64)</f>
        <v>0</v>
      </c>
      <c r="BN64" s="182"/>
      <c r="BO64" s="182">
        <f t="shared" ref="BO64:BO65" si="216">(BN64*$E64*$F64*$G64*$M64)</f>
        <v>0</v>
      </c>
      <c r="BP64" s="182"/>
      <c r="BQ64" s="182">
        <f t="shared" ref="BQ64:BQ65" si="217">(BP64*$E64*$F64*$G64*$M64)</f>
        <v>0</v>
      </c>
      <c r="BR64" s="182"/>
      <c r="BS64" s="182">
        <f t="shared" ref="BS64:BS65" si="218">(BR64*$E64*$F64*$G64*$M64)</f>
        <v>0</v>
      </c>
      <c r="BT64" s="182"/>
      <c r="BU64" s="182">
        <f t="shared" ref="BU64:BU65" si="219">(BT64*$E64*$F64*$G64*$M64)</f>
        <v>0</v>
      </c>
      <c r="BV64" s="182"/>
      <c r="BW64" s="182">
        <f t="shared" ref="BW64:BW65" si="220">(BV64*$E64*$F64*$G64*$M64)</f>
        <v>0</v>
      </c>
      <c r="BX64" s="182"/>
      <c r="BY64" s="182">
        <f t="shared" ref="BY64:BY65" si="221">(BX64*$E64*$F64*$G64*$M64)</f>
        <v>0</v>
      </c>
      <c r="BZ64" s="182"/>
      <c r="CA64" s="187">
        <f t="shared" ref="CA64:CA65" si="222">(BZ64*$E64*$F64*$G64*$M64)</f>
        <v>0</v>
      </c>
      <c r="CB64" s="182"/>
      <c r="CC64" s="182">
        <f t="shared" ref="CC64:CC65" si="223">(CB64*$E64*$F64*$G64*$L64)</f>
        <v>0</v>
      </c>
      <c r="CD64" s="182"/>
      <c r="CE64" s="183">
        <f t="shared" ref="CE64:CE65" si="224">(CD64*$E64*$F64*$G64*$L64)</f>
        <v>0</v>
      </c>
      <c r="CF64" s="182"/>
      <c r="CG64" s="182">
        <f t="shared" ref="CG64:CG65" si="225">(CF64*$E64*$F64*$G64*$L64)</f>
        <v>0</v>
      </c>
      <c r="CH64" s="182"/>
      <c r="CI64" s="182">
        <f t="shared" ref="CI64:CI65" si="226">(CH64*$E64*$F64*$G64*$M64)</f>
        <v>0</v>
      </c>
      <c r="CJ64" s="182"/>
      <c r="CK64" s="182"/>
      <c r="CL64" s="182"/>
      <c r="CM64" s="182">
        <f t="shared" ref="CM64:CM65" si="227">(CL64*$E64*$F64*$G64*$L64)</f>
        <v>0</v>
      </c>
      <c r="CN64" s="182"/>
      <c r="CO64" s="182">
        <f t="shared" ref="CO64:CO65" si="228">(CN64*$E64*$F64*$G64*$L64)</f>
        <v>0</v>
      </c>
      <c r="CP64" s="182"/>
      <c r="CQ64" s="182">
        <f t="shared" ref="CQ64:CQ65" si="229">(CP64*$E64*$F64*$G64*$L64)</f>
        <v>0</v>
      </c>
      <c r="CR64" s="182"/>
      <c r="CS64" s="182">
        <f t="shared" ref="CS64:CS65" si="230">(CR64*$E64*$F64*$G64*$L64)</f>
        <v>0</v>
      </c>
      <c r="CT64" s="182"/>
      <c r="CU64" s="182">
        <f t="shared" ref="CU64:CU65" si="231">(CT64*$E64*$F64*$G64*$L64)</f>
        <v>0</v>
      </c>
      <c r="CV64" s="182"/>
      <c r="CW64" s="182">
        <v>0</v>
      </c>
      <c r="CX64" s="182"/>
      <c r="CY64" s="182">
        <f t="shared" ref="CY64:CY65" si="232">(CX64*$E64*$F64*$G64*$M64)</f>
        <v>0</v>
      </c>
      <c r="CZ64" s="182"/>
      <c r="DA64" s="182">
        <v>0</v>
      </c>
      <c r="DB64" s="188"/>
      <c r="DC64" s="182">
        <f t="shared" ref="DC64:DC65" si="233">(DB64*$E64*$F64*$G64*$M64)</f>
        <v>0</v>
      </c>
      <c r="DD64" s="182"/>
      <c r="DE64" s="187">
        <f t="shared" ref="DE64:DE65" si="234">(DD64*$E64*$F64*$G64*$M64)</f>
        <v>0</v>
      </c>
      <c r="DF64" s="182"/>
      <c r="DG64" s="182"/>
      <c r="DH64" s="189"/>
      <c r="DI64" s="182">
        <f t="shared" ref="DI64:DI65" si="235">(DH64*$E64*$F64*$G64*$M64)</f>
        <v>0</v>
      </c>
      <c r="DJ64" s="182"/>
      <c r="DK64" s="182">
        <f t="shared" ref="DK64:DK65" si="236">(DJ64*$E64*$F64*$G64*$M64)</f>
        <v>0</v>
      </c>
      <c r="DL64" s="182"/>
      <c r="DM64" s="182">
        <f t="shared" ref="DM64:DM65" si="237">(DL64*$E64*$F64*$G64*$N64)</f>
        <v>0</v>
      </c>
      <c r="DN64" s="182"/>
      <c r="DO64" s="187">
        <f t="shared" ref="DO64:DO65" si="238">(DN64*$E64*$F64*$G64*$O64)</f>
        <v>0</v>
      </c>
      <c r="DP64" s="187"/>
      <c r="DQ64" s="187"/>
      <c r="DR64" s="183">
        <f t="shared" si="197"/>
        <v>2</v>
      </c>
      <c r="DS64" s="183">
        <f t="shared" si="197"/>
        <v>143245.00399999999</v>
      </c>
      <c r="DT64" s="182">
        <v>2</v>
      </c>
      <c r="DU64" s="182">
        <v>143245.00399999999</v>
      </c>
      <c r="DV64" s="167">
        <f t="shared" si="5"/>
        <v>0</v>
      </c>
      <c r="DW64" s="167">
        <f t="shared" si="5"/>
        <v>0</v>
      </c>
    </row>
    <row r="65" spans="1:127" ht="30" customHeight="1" x14ac:dyDescent="0.25">
      <c r="A65" s="154"/>
      <c r="B65" s="176">
        <v>41</v>
      </c>
      <c r="C65" s="177" t="s">
        <v>225</v>
      </c>
      <c r="D65" s="178" t="s">
        <v>226</v>
      </c>
      <c r="E65" s="158">
        <v>25969</v>
      </c>
      <c r="F65" s="179">
        <v>2.78</v>
      </c>
      <c r="G65" s="168">
        <v>1</v>
      </c>
      <c r="H65" s="169"/>
      <c r="I65" s="169"/>
      <c r="J65" s="169"/>
      <c r="K65" s="106"/>
      <c r="L65" s="180">
        <v>1.4</v>
      </c>
      <c r="M65" s="180">
        <v>1.68</v>
      </c>
      <c r="N65" s="180">
        <v>2.23</v>
      </c>
      <c r="O65" s="181">
        <v>2.57</v>
      </c>
      <c r="P65" s="182"/>
      <c r="Q65" s="182">
        <f t="shared" si="201"/>
        <v>0</v>
      </c>
      <c r="R65" s="182"/>
      <c r="S65" s="187">
        <f t="shared" si="202"/>
        <v>0</v>
      </c>
      <c r="T65" s="182">
        <v>10</v>
      </c>
      <c r="U65" s="182">
        <f t="shared" si="203"/>
        <v>1010713.4799999999</v>
      </c>
      <c r="V65" s="182"/>
      <c r="W65" s="182">
        <f t="shared" si="204"/>
        <v>0</v>
      </c>
      <c r="X65" s="182"/>
      <c r="Y65" s="182">
        <v>0</v>
      </c>
      <c r="Z65" s="182"/>
      <c r="AA65" s="182">
        <v>0</v>
      </c>
      <c r="AB65" s="182">
        <f t="shared" si="186"/>
        <v>0</v>
      </c>
      <c r="AC65" s="182">
        <f t="shared" si="186"/>
        <v>0</v>
      </c>
      <c r="AD65" s="182"/>
      <c r="AE65" s="182">
        <f t="shared" si="205"/>
        <v>0</v>
      </c>
      <c r="AF65" s="182"/>
      <c r="AG65" s="182"/>
      <c r="AH65" s="182"/>
      <c r="AI65" s="182">
        <f t="shared" si="206"/>
        <v>0</v>
      </c>
      <c r="AJ65" s="182"/>
      <c r="AK65" s="182"/>
      <c r="AL65" s="182"/>
      <c r="AM65" s="182"/>
      <c r="AN65" s="184"/>
      <c r="AO65" s="182">
        <f t="shared" si="207"/>
        <v>0</v>
      </c>
      <c r="AP65" s="182"/>
      <c r="AQ65" s="182">
        <f t="shared" si="208"/>
        <v>0</v>
      </c>
      <c r="AR65" s="182"/>
      <c r="AS65" s="182">
        <f t="shared" si="209"/>
        <v>0</v>
      </c>
      <c r="AT65" s="182"/>
      <c r="AU65" s="183">
        <f t="shared" si="210"/>
        <v>0</v>
      </c>
      <c r="AV65" s="188"/>
      <c r="AW65" s="182">
        <f t="shared" si="211"/>
        <v>0</v>
      </c>
      <c r="AX65" s="182"/>
      <c r="AY65" s="187">
        <f t="shared" si="212"/>
        <v>0</v>
      </c>
      <c r="AZ65" s="182"/>
      <c r="BA65" s="182">
        <f>(AZ65*$E65*$F65*$G65*$L65*$AO$12)</f>
        <v>0</v>
      </c>
      <c r="BB65" s="182"/>
      <c r="BC65" s="182">
        <f t="shared" si="213"/>
        <v>0</v>
      </c>
      <c r="BD65" s="182"/>
      <c r="BE65" s="182">
        <f>(BD65*$E65*$F65*$G65*$L65*BE$12)</f>
        <v>0</v>
      </c>
      <c r="BF65" s="182"/>
      <c r="BG65" s="182">
        <f t="shared" si="214"/>
        <v>0</v>
      </c>
      <c r="BH65" s="182"/>
      <c r="BI65" s="182">
        <f t="shared" si="214"/>
        <v>0</v>
      </c>
      <c r="BJ65" s="182"/>
      <c r="BK65" s="182"/>
      <c r="BL65" s="182"/>
      <c r="BM65" s="182">
        <f t="shared" si="215"/>
        <v>0</v>
      </c>
      <c r="BN65" s="182"/>
      <c r="BO65" s="182">
        <f t="shared" si="216"/>
        <v>0</v>
      </c>
      <c r="BP65" s="182"/>
      <c r="BQ65" s="182">
        <f t="shared" si="217"/>
        <v>0</v>
      </c>
      <c r="BR65" s="182"/>
      <c r="BS65" s="182">
        <f t="shared" si="218"/>
        <v>0</v>
      </c>
      <c r="BT65" s="182"/>
      <c r="BU65" s="182">
        <f t="shared" si="219"/>
        <v>0</v>
      </c>
      <c r="BV65" s="182"/>
      <c r="BW65" s="182">
        <f t="shared" si="220"/>
        <v>0</v>
      </c>
      <c r="BX65" s="182"/>
      <c r="BY65" s="182">
        <f t="shared" si="221"/>
        <v>0</v>
      </c>
      <c r="BZ65" s="182"/>
      <c r="CA65" s="187">
        <f t="shared" si="222"/>
        <v>0</v>
      </c>
      <c r="CB65" s="182"/>
      <c r="CC65" s="182">
        <f t="shared" si="223"/>
        <v>0</v>
      </c>
      <c r="CD65" s="182"/>
      <c r="CE65" s="183">
        <f t="shared" si="224"/>
        <v>0</v>
      </c>
      <c r="CF65" s="182"/>
      <c r="CG65" s="182">
        <f t="shared" si="225"/>
        <v>0</v>
      </c>
      <c r="CH65" s="182"/>
      <c r="CI65" s="182">
        <f t="shared" si="226"/>
        <v>0</v>
      </c>
      <c r="CJ65" s="182"/>
      <c r="CK65" s="182"/>
      <c r="CL65" s="182"/>
      <c r="CM65" s="182">
        <f t="shared" si="227"/>
        <v>0</v>
      </c>
      <c r="CN65" s="182"/>
      <c r="CO65" s="182">
        <f t="shared" si="228"/>
        <v>0</v>
      </c>
      <c r="CP65" s="182"/>
      <c r="CQ65" s="182">
        <f t="shared" si="229"/>
        <v>0</v>
      </c>
      <c r="CR65" s="182"/>
      <c r="CS65" s="182">
        <f t="shared" si="230"/>
        <v>0</v>
      </c>
      <c r="CT65" s="182"/>
      <c r="CU65" s="182">
        <f t="shared" si="231"/>
        <v>0</v>
      </c>
      <c r="CV65" s="182"/>
      <c r="CW65" s="182">
        <v>0</v>
      </c>
      <c r="CX65" s="182"/>
      <c r="CY65" s="182">
        <f t="shared" si="232"/>
        <v>0</v>
      </c>
      <c r="CZ65" s="182"/>
      <c r="DA65" s="182">
        <v>0</v>
      </c>
      <c r="DB65" s="188"/>
      <c r="DC65" s="182">
        <f t="shared" si="233"/>
        <v>0</v>
      </c>
      <c r="DD65" s="182"/>
      <c r="DE65" s="187">
        <f t="shared" si="234"/>
        <v>0</v>
      </c>
      <c r="DF65" s="182"/>
      <c r="DG65" s="182"/>
      <c r="DH65" s="189"/>
      <c r="DI65" s="182">
        <f t="shared" si="235"/>
        <v>0</v>
      </c>
      <c r="DJ65" s="182"/>
      <c r="DK65" s="182">
        <f t="shared" si="236"/>
        <v>0</v>
      </c>
      <c r="DL65" s="182"/>
      <c r="DM65" s="182">
        <f t="shared" si="237"/>
        <v>0</v>
      </c>
      <c r="DN65" s="182"/>
      <c r="DO65" s="187">
        <f t="shared" si="238"/>
        <v>0</v>
      </c>
      <c r="DP65" s="187"/>
      <c r="DQ65" s="187"/>
      <c r="DR65" s="183">
        <f t="shared" si="197"/>
        <v>10</v>
      </c>
      <c r="DS65" s="183">
        <f t="shared" si="197"/>
        <v>1010713.4799999999</v>
      </c>
      <c r="DT65" s="182">
        <v>10</v>
      </c>
      <c r="DU65" s="182">
        <v>1010713.4799999999</v>
      </c>
      <c r="DV65" s="167">
        <f t="shared" si="5"/>
        <v>0</v>
      </c>
      <c r="DW65" s="167">
        <f t="shared" si="5"/>
        <v>0</v>
      </c>
    </row>
    <row r="66" spans="1:127" ht="30" customHeight="1" x14ac:dyDescent="0.25">
      <c r="A66" s="154"/>
      <c r="B66" s="176">
        <v>42</v>
      </c>
      <c r="C66" s="177" t="s">
        <v>227</v>
      </c>
      <c r="D66" s="210" t="s">
        <v>228</v>
      </c>
      <c r="E66" s="158">
        <v>25969</v>
      </c>
      <c r="F66" s="179">
        <v>1.1499999999999999</v>
      </c>
      <c r="G66" s="168">
        <v>1</v>
      </c>
      <c r="H66" s="169"/>
      <c r="I66" s="169"/>
      <c r="J66" s="169"/>
      <c r="K66" s="106"/>
      <c r="L66" s="180">
        <v>1.4</v>
      </c>
      <c r="M66" s="180">
        <v>1.68</v>
      </c>
      <c r="N66" s="180">
        <v>2.23</v>
      </c>
      <c r="O66" s="181">
        <v>2.57</v>
      </c>
      <c r="P66" s="182"/>
      <c r="Q66" s="182">
        <f>(P66*$E66*$F66*$G66*$L66*$Q$12)</f>
        <v>0</v>
      </c>
      <c r="R66" s="182"/>
      <c r="S66" s="182">
        <f>(R66*$E66*$F66*$G66*$L66*$S$12)</f>
        <v>0</v>
      </c>
      <c r="T66" s="182">
        <v>16</v>
      </c>
      <c r="U66" s="182">
        <f t="shared" ref="U66:U67" si="239">(T66/12*11*$E66*$F66*$G66*$L66*$U$12)+(T66/12*1*$E66*$F66*$G66*$L66*$U$14)</f>
        <v>844563.81799999985</v>
      </c>
      <c r="V66" s="182">
        <v>11</v>
      </c>
      <c r="W66" s="183">
        <f t="shared" ref="W66:W67" si="240">(V66*$E66*$F66*$G66*$L66*$W$12)/12*10+(V66*$E66*$F66*$G66*$L66*$W$13)/12*1+(V66*$E66*$F66*$G66*$L66*$W$14*$W$15)/12*1</f>
        <v>584895.17421309324</v>
      </c>
      <c r="X66" s="183"/>
      <c r="Y66" s="183">
        <v>0</v>
      </c>
      <c r="Z66" s="183"/>
      <c r="AA66" s="183">
        <v>0</v>
      </c>
      <c r="AB66" s="182">
        <f t="shared" si="186"/>
        <v>0</v>
      </c>
      <c r="AC66" s="182">
        <f t="shared" si="186"/>
        <v>0</v>
      </c>
      <c r="AD66" s="182"/>
      <c r="AE66" s="182">
        <f>(AD66*$E66*$F66*$G66*$L66*$AE$12)</f>
        <v>0</v>
      </c>
      <c r="AF66" s="182"/>
      <c r="AG66" s="182"/>
      <c r="AH66" s="182"/>
      <c r="AI66" s="182">
        <f>(AH66*$E66*$F66*$G66*$L66*$AI$12)</f>
        <v>0</v>
      </c>
      <c r="AJ66" s="182"/>
      <c r="AK66" s="182"/>
      <c r="AL66" s="182"/>
      <c r="AM66" s="182"/>
      <c r="AN66" s="184"/>
      <c r="AO66" s="182">
        <f>(AN66*$E66*$F66*$G66*$L66*$AO$12)</f>
        <v>0</v>
      </c>
      <c r="AP66" s="182"/>
      <c r="AQ66" s="183">
        <f>(AP66*$E66*$F66*$G66*$L66*$AQ$12)</f>
        <v>0</v>
      </c>
      <c r="AR66" s="182"/>
      <c r="AS66" s="182">
        <f t="shared" ref="AS66:AS68" si="241">(AR66*$E66*$F66*$G66*$L66*$AS$12)/12*10+(AR66*$E66*$F66*$G66*$L66*$AS$13)/12*1+(AR66*$E66*$F66*$G66*$L66*$AS$14)/12*1</f>
        <v>0</v>
      </c>
      <c r="AT66" s="182"/>
      <c r="AU66" s="182">
        <f>(AT66*$E66*$F66*$G66*$M66*$AU$12)</f>
        <v>0</v>
      </c>
      <c r="AV66" s="188"/>
      <c r="AW66" s="182">
        <f>(AV66*$E66*$F66*$G66*$M66*$AW$12)</f>
        <v>0</v>
      </c>
      <c r="AX66" s="182"/>
      <c r="AY66" s="187">
        <f>(AX66*$E66*$F66*$G66*$M66*$AY$12)</f>
        <v>0</v>
      </c>
      <c r="AZ66" s="209"/>
      <c r="BA66" s="182">
        <f>(AZ66*$E66*$F66*$G66*$L66*$BA$12)</f>
        <v>0</v>
      </c>
      <c r="BB66" s="182"/>
      <c r="BC66" s="182">
        <f>(BB66*$E66*$F66*$G66*$L66*$BC$12)</f>
        <v>0</v>
      </c>
      <c r="BD66" s="182"/>
      <c r="BE66" s="182">
        <f>(BD66*$E66*$F66*$G66*$L66*$BE$12)</f>
        <v>0</v>
      </c>
      <c r="BF66" s="182"/>
      <c r="BG66" s="182">
        <f>(BF66*$E66*$F66*$G66*$L66*$BG$12)</f>
        <v>0</v>
      </c>
      <c r="BH66" s="182"/>
      <c r="BI66" s="183">
        <f>(BH66*$E66*$F66*$G66*$L66*$BI$12)</f>
        <v>0</v>
      </c>
      <c r="BJ66" s="182"/>
      <c r="BK66" s="183">
        <f>(BJ66*$E66*$F66*$G66*$L66*$BK$12)</f>
        <v>0</v>
      </c>
      <c r="BL66" s="182"/>
      <c r="BM66" s="182">
        <f>(BL66*$E66*$F66*$G66*$L66*$BM$12)</f>
        <v>0</v>
      </c>
      <c r="BN66" s="182"/>
      <c r="BO66" s="182">
        <f>(BN66*$E66*$F66*$G66*$M66*$BO$12)</f>
        <v>0</v>
      </c>
      <c r="BP66" s="182"/>
      <c r="BQ66" s="182">
        <f>(BP66*$E66*$F66*$G66*$M66*$BQ$12)</f>
        <v>0</v>
      </c>
      <c r="BR66" s="182"/>
      <c r="BS66" s="183">
        <f>(BR66*$E66*$F66*$G66*$M66*$BS$12)</f>
        <v>0</v>
      </c>
      <c r="BT66" s="182"/>
      <c r="BU66" s="182">
        <f>(BT66*$E66*$F66*$G66*$M66*$BU$12)</f>
        <v>0</v>
      </c>
      <c r="BV66" s="182"/>
      <c r="BW66" s="182">
        <f>(BV66*$E66*$F66*$G66*$M66*$BW$12)</f>
        <v>0</v>
      </c>
      <c r="BX66" s="182"/>
      <c r="BY66" s="183">
        <f>(BX66*$E66*$F66*$G66*$M66*$BY$12)</f>
        <v>0</v>
      </c>
      <c r="BZ66" s="182"/>
      <c r="CA66" s="187">
        <f>(BZ66*$E66*$F66*$G66*$M66*$CA$12)</f>
        <v>0</v>
      </c>
      <c r="CB66" s="182"/>
      <c r="CC66" s="182">
        <f>(CB66*$E66*$F66*$G66*$L66*$CC$12)</f>
        <v>0</v>
      </c>
      <c r="CD66" s="182"/>
      <c r="CE66" s="182">
        <f>(CD66*$E66*$F66*$G66*$L66*$CE$12)</f>
        <v>0</v>
      </c>
      <c r="CF66" s="182"/>
      <c r="CG66" s="182">
        <f>(CF66*$E66*$F66*$G66*$L66*$CG$12)</f>
        <v>0</v>
      </c>
      <c r="CH66" s="182"/>
      <c r="CI66" s="182">
        <f>(CH66*$E66*$F66*$G66*$M66*$CI$12)</f>
        <v>0</v>
      </c>
      <c r="CJ66" s="182"/>
      <c r="CK66" s="182"/>
      <c r="CL66" s="182"/>
      <c r="CM66" s="183">
        <f>(CL66*$E66*$F66*$G66*$L66*$CM$12)</f>
        <v>0</v>
      </c>
      <c r="CN66" s="182"/>
      <c r="CO66" s="183">
        <f>(CN66*$E66*$F66*$G66*$L66*$CO$12)</f>
        <v>0</v>
      </c>
      <c r="CP66" s="182"/>
      <c r="CQ66" s="182">
        <f>(CP66*$E66*$F66*$G66*$L66*$CQ$12)</f>
        <v>0</v>
      </c>
      <c r="CR66" s="182"/>
      <c r="CS66" s="182">
        <f>(CR66*$E66*$F66*$G66*$L66*$CS$12)</f>
        <v>0</v>
      </c>
      <c r="CT66" s="182"/>
      <c r="CU66" s="182">
        <f>(CT66*$E66*$F66*$G66*$L66*$CU$12)</f>
        <v>0</v>
      </c>
      <c r="CV66" s="182">
        <v>1</v>
      </c>
      <c r="CW66" s="182">
        <v>58897.69</v>
      </c>
      <c r="CX66" s="182"/>
      <c r="CY66" s="182">
        <f>(CX66*$E66*$F66*$G66*$M66*$CY$12)</f>
        <v>0</v>
      </c>
      <c r="CZ66" s="182"/>
      <c r="DA66" s="182">
        <v>0</v>
      </c>
      <c r="DB66" s="188"/>
      <c r="DC66" s="182">
        <f>(DB66*$E66*$F66*$G66*$M66*$DC$12)</f>
        <v>0</v>
      </c>
      <c r="DD66" s="182"/>
      <c r="DE66" s="187">
        <f t="shared" ref="DE66:DE68" si="242">(DD66*$E66*$F66*$G66*$M66*DE$12)</f>
        <v>0</v>
      </c>
      <c r="DF66" s="182"/>
      <c r="DG66" s="182">
        <f>(DF66*$E66*$F66*$G66*$M66*$DG$12)</f>
        <v>0</v>
      </c>
      <c r="DH66" s="189"/>
      <c r="DI66" s="182">
        <f>(DH66*$E66*$F66*$G66*$M66*$BY$12)</f>
        <v>0</v>
      </c>
      <c r="DJ66" s="182"/>
      <c r="DK66" s="182">
        <f>(DJ66*$E66*$F66*$G66*$M66*$DK$12)</f>
        <v>0</v>
      </c>
      <c r="DL66" s="182"/>
      <c r="DM66" s="182">
        <f>(DL66*$E66*$F66*$G66*$N66*$DM$12)</f>
        <v>0</v>
      </c>
      <c r="DN66" s="182"/>
      <c r="DO66" s="190">
        <f>(DN66*$E66*$F66*$G66*$O66*$DO$12)</f>
        <v>0</v>
      </c>
      <c r="DP66" s="187"/>
      <c r="DQ66" s="187"/>
      <c r="DR66" s="183">
        <f t="shared" si="197"/>
        <v>28</v>
      </c>
      <c r="DS66" s="183">
        <f t="shared" si="197"/>
        <v>1488356.6822130932</v>
      </c>
      <c r="DT66" s="182">
        <v>28</v>
      </c>
      <c r="DU66" s="182">
        <v>1477653.4106666665</v>
      </c>
      <c r="DV66" s="167">
        <f t="shared" si="5"/>
        <v>0</v>
      </c>
      <c r="DW66" s="167">
        <f t="shared" si="5"/>
        <v>10703.271546426695</v>
      </c>
    </row>
    <row r="67" spans="1:127" ht="30" customHeight="1" x14ac:dyDescent="0.25">
      <c r="A67" s="154"/>
      <c r="B67" s="176">
        <v>43</v>
      </c>
      <c r="C67" s="177" t="s">
        <v>229</v>
      </c>
      <c r="D67" s="210" t="s">
        <v>230</v>
      </c>
      <c r="E67" s="158">
        <v>25969</v>
      </c>
      <c r="F67" s="179">
        <v>1.22</v>
      </c>
      <c r="G67" s="168">
        <v>1</v>
      </c>
      <c r="H67" s="169"/>
      <c r="I67" s="169"/>
      <c r="J67" s="169"/>
      <c r="K67" s="106"/>
      <c r="L67" s="180">
        <v>1.4</v>
      </c>
      <c r="M67" s="180">
        <v>1.68</v>
      </c>
      <c r="N67" s="180">
        <v>2.23</v>
      </c>
      <c r="O67" s="181">
        <v>2.57</v>
      </c>
      <c r="P67" s="182"/>
      <c r="Q67" s="182">
        <f>(P67*$E67*$F67*$G67*$L67*$Q$12)</f>
        <v>0</v>
      </c>
      <c r="R67" s="182"/>
      <c r="S67" s="182">
        <f>(R67*$E67*$F67*$G67*$L67*$S$12)</f>
        <v>0</v>
      </c>
      <c r="T67" s="182">
        <v>29</v>
      </c>
      <c r="U67" s="182">
        <f t="shared" si="239"/>
        <v>1623949.3413499997</v>
      </c>
      <c r="V67" s="182">
        <v>11</v>
      </c>
      <c r="W67" s="183">
        <f t="shared" si="240"/>
        <v>620497.48916519457</v>
      </c>
      <c r="X67" s="183"/>
      <c r="Y67" s="183">
        <v>0</v>
      </c>
      <c r="Z67" s="183"/>
      <c r="AA67" s="183">
        <v>0</v>
      </c>
      <c r="AB67" s="182">
        <f t="shared" si="186"/>
        <v>0</v>
      </c>
      <c r="AC67" s="182">
        <f t="shared" si="186"/>
        <v>0</v>
      </c>
      <c r="AD67" s="182"/>
      <c r="AE67" s="182">
        <f>(AD67*$E67*$F67*$G67*$L67*$AE$12)</f>
        <v>0</v>
      </c>
      <c r="AF67" s="182"/>
      <c r="AG67" s="182"/>
      <c r="AH67" s="182"/>
      <c r="AI67" s="182">
        <f>(AH67*$E67*$F67*$G67*$L67*$AI$12)</f>
        <v>0</v>
      </c>
      <c r="AJ67" s="182"/>
      <c r="AK67" s="182"/>
      <c r="AL67" s="182"/>
      <c r="AM67" s="182"/>
      <c r="AN67" s="205">
        <v>1</v>
      </c>
      <c r="AO67" s="182">
        <f>(AN67*$E67*$F67*$G67*$L67*$AO$12)</f>
        <v>48790.557200000003</v>
      </c>
      <c r="AP67" s="182"/>
      <c r="AQ67" s="183">
        <f>(AP67*$E67*$F67*$G67*$L67*$AQ$12)</f>
        <v>0</v>
      </c>
      <c r="AR67" s="182"/>
      <c r="AS67" s="182">
        <f t="shared" si="241"/>
        <v>0</v>
      </c>
      <c r="AT67" s="182">
        <v>29</v>
      </c>
      <c r="AU67" s="182">
        <f>(AT67*$E67*$F67*$G67*$M67*$AU$12)/12*10+(AT67*$E67*$F67*$G67*$M67*$AU$13)/12+(AT67*$E67*$F67*$G67*$M67*$AU$14*$AU$15)/12</f>
        <v>1778792.9432051349</v>
      </c>
      <c r="AV67" s="188"/>
      <c r="AW67" s="182">
        <f>(AV67*$E67*$F67*$G67*$M67*$AW$12)</f>
        <v>0</v>
      </c>
      <c r="AX67" s="182"/>
      <c r="AY67" s="187">
        <f>(AX67*$E67*$F67*$G67*$M67*$AY$12)</f>
        <v>0</v>
      </c>
      <c r="AZ67" s="182"/>
      <c r="BA67" s="182">
        <f>(AZ67*$E67*$F67*$G67*$L67*$BA$12)</f>
        <v>0</v>
      </c>
      <c r="BB67" s="182"/>
      <c r="BC67" s="182">
        <f>(BB67*$E67*$F67*$G67*$L67*$BC$12)</f>
        <v>0</v>
      </c>
      <c r="BD67" s="182"/>
      <c r="BE67" s="182">
        <f>(BD67*$E67*$F67*$G67*$L67*$BE$12)</f>
        <v>0</v>
      </c>
      <c r="BF67" s="182"/>
      <c r="BG67" s="182">
        <f>(BF67*$E67*$F67*$G67*$L67*$BG$12)</f>
        <v>0</v>
      </c>
      <c r="BH67" s="182"/>
      <c r="BI67" s="183">
        <f>(BH67*$E67*$F67*$G67*$L67*$BI$12)</f>
        <v>0</v>
      </c>
      <c r="BJ67" s="182"/>
      <c r="BK67" s="183">
        <f>(BJ67*$E67*$F67*$G67*$L67*$BK$12)</f>
        <v>0</v>
      </c>
      <c r="BL67" s="182"/>
      <c r="BM67" s="182">
        <f>(BL67*$E67*$F67*$G67*$L67*$BM$12)</f>
        <v>0</v>
      </c>
      <c r="BN67" s="182">
        <v>1</v>
      </c>
      <c r="BO67" s="182">
        <f>(BN67*$E67*$F67*$G67*$M67*$BO$12)</f>
        <v>58548.668639999996</v>
      </c>
      <c r="BP67" s="182"/>
      <c r="BQ67" s="182">
        <f>(BP67*$E67*$F67*$G67*$M67*$BQ$12)</f>
        <v>0</v>
      </c>
      <c r="BR67" s="182"/>
      <c r="BS67" s="183">
        <f>(BR67*$E67*$F67*$G67*$M67*$BS$12)</f>
        <v>0</v>
      </c>
      <c r="BT67" s="182"/>
      <c r="BU67" s="182">
        <f>(BT67*$E67*$F67*$G67*$M67*$BU$12)</f>
        <v>0</v>
      </c>
      <c r="BV67" s="182"/>
      <c r="BW67" s="182">
        <f>(BV67*$E67*$F67*$G67*$M67*$BW$12)</f>
        <v>0</v>
      </c>
      <c r="BX67" s="182">
        <v>3</v>
      </c>
      <c r="BY67" s="183">
        <f t="shared" ref="BY67" si="243">(BX67*$E67*$F67*$G67*$M67*$BY$12)/12*11+(BX67*$E67*$F67*$G67*$M67*$BY$12*$BY$15)/12</f>
        <v>215354.77751289596</v>
      </c>
      <c r="BZ67" s="182"/>
      <c r="CA67" s="187">
        <f>(BZ67*$E67*$F67*$G67*$M67*$CA$12)</f>
        <v>0</v>
      </c>
      <c r="CB67" s="182"/>
      <c r="CC67" s="182">
        <f>(CB67*$E67*$F67*$G67*$L67*$CC$12)</f>
        <v>0</v>
      </c>
      <c r="CD67" s="182"/>
      <c r="CE67" s="182">
        <f>(CD67*$E67*$F67*$G67*$L67*$CE$12)</f>
        <v>0</v>
      </c>
      <c r="CF67" s="182"/>
      <c r="CG67" s="182">
        <f>(CF67*$E67*$F67*$G67*$L67*$CG$12)</f>
        <v>0</v>
      </c>
      <c r="CH67" s="182"/>
      <c r="CI67" s="182">
        <f>(CH67*$E67*$F67*$G67*$M67*$CI$12)</f>
        <v>0</v>
      </c>
      <c r="CJ67" s="182"/>
      <c r="CK67" s="182"/>
      <c r="CL67" s="182"/>
      <c r="CM67" s="183">
        <f>(CL67*$E67*$F67*$G67*$L67*$CM$12)</f>
        <v>0</v>
      </c>
      <c r="CN67" s="182"/>
      <c r="CO67" s="183">
        <f>(CN67*$E67*$F67*$G67*$L67*$CO$12)</f>
        <v>0</v>
      </c>
      <c r="CP67" s="182"/>
      <c r="CQ67" s="182">
        <f>(CP67*$E67*$F67*$G67*$L67*$CQ$12)</f>
        <v>0</v>
      </c>
      <c r="CR67" s="182"/>
      <c r="CS67" s="182">
        <f>(CR67*$E67*$F67*$G67*$L67*$CS$12)</f>
        <v>0</v>
      </c>
      <c r="CT67" s="182"/>
      <c r="CU67" s="182">
        <f>(CT67*$E67*$F67*$G67*$L67*$CU$12)</f>
        <v>0</v>
      </c>
      <c r="CV67" s="182">
        <v>1</v>
      </c>
      <c r="CW67" s="182">
        <v>53226.06</v>
      </c>
      <c r="CX67" s="182"/>
      <c r="CY67" s="182">
        <f>(CX67*$E67*$F67*$G67*$M67*$CY$12)</f>
        <v>0</v>
      </c>
      <c r="CZ67" s="182"/>
      <c r="DA67" s="182">
        <v>0</v>
      </c>
      <c r="DB67" s="188"/>
      <c r="DC67" s="182">
        <f>(DB67*$E67*$F67*$G67*$M67*$DC$12)</f>
        <v>0</v>
      </c>
      <c r="DD67" s="182"/>
      <c r="DE67" s="187">
        <f t="shared" si="242"/>
        <v>0</v>
      </c>
      <c r="DF67" s="182"/>
      <c r="DG67" s="182">
        <f>(DF67*$E67*$F67*$G67*$M67*$DG$12)</f>
        <v>0</v>
      </c>
      <c r="DH67" s="189"/>
      <c r="DI67" s="182">
        <f>(DH67*$E67*$F67*$G67*$M67*$BY$12)</f>
        <v>0</v>
      </c>
      <c r="DJ67" s="182"/>
      <c r="DK67" s="182">
        <f>(DJ67*$E67*$F67*$G67*$M67*$DK$12)</f>
        <v>0</v>
      </c>
      <c r="DL67" s="182"/>
      <c r="DM67" s="182">
        <f>(DL67*$E67*$F67*$G67*$N67*$DM$12)</f>
        <v>0</v>
      </c>
      <c r="DN67" s="182"/>
      <c r="DO67" s="190">
        <f>(DN67*$E67*$F67*$G67*$O67*$DO$12)</f>
        <v>0</v>
      </c>
      <c r="DP67" s="187"/>
      <c r="DQ67" s="187"/>
      <c r="DR67" s="183">
        <f t="shared" si="197"/>
        <v>75</v>
      </c>
      <c r="DS67" s="183">
        <f t="shared" si="197"/>
        <v>4399159.8370732255</v>
      </c>
      <c r="DT67" s="182">
        <v>75</v>
      </c>
      <c r="DU67" s="182">
        <v>4314563.7558133332</v>
      </c>
      <c r="DV67" s="167">
        <f t="shared" si="5"/>
        <v>0</v>
      </c>
      <c r="DW67" s="167">
        <f t="shared" si="5"/>
        <v>84596.081259892322</v>
      </c>
    </row>
    <row r="68" spans="1:127" ht="30" customHeight="1" x14ac:dyDescent="0.25">
      <c r="A68" s="154"/>
      <c r="B68" s="176">
        <v>44</v>
      </c>
      <c r="C68" s="177" t="s">
        <v>231</v>
      </c>
      <c r="D68" s="210" t="s">
        <v>232</v>
      </c>
      <c r="E68" s="158">
        <v>25969</v>
      </c>
      <c r="F68" s="179">
        <v>1.78</v>
      </c>
      <c r="G68" s="168">
        <v>1</v>
      </c>
      <c r="H68" s="169">
        <v>1.4</v>
      </c>
      <c r="I68" s="169"/>
      <c r="J68" s="169"/>
      <c r="K68" s="106"/>
      <c r="L68" s="180">
        <v>1.4</v>
      </c>
      <c r="M68" s="180">
        <v>1.68</v>
      </c>
      <c r="N68" s="180">
        <v>2.23</v>
      </c>
      <c r="O68" s="181">
        <v>2.57</v>
      </c>
      <c r="P68" s="182"/>
      <c r="Q68" s="182">
        <f>(P68*$E68*$F68*$G68*$L68*$Q$12)</f>
        <v>0</v>
      </c>
      <c r="R68" s="182"/>
      <c r="S68" s="182">
        <f>(R68*$E68*$F68*$G68*$L68*$S$12)</f>
        <v>0</v>
      </c>
      <c r="T68" s="182">
        <v>224</v>
      </c>
      <c r="U68" s="182">
        <f>(T68/12*11*$E68*$F68*$G68*$L68*$U$12)+(T68/12*1*$E68*$F68*$H68*$L68*$U$14)</f>
        <v>18977815.566826668</v>
      </c>
      <c r="V68" s="182"/>
      <c r="W68" s="183">
        <f>(V68*$E68*$F68*$G68*$L68*$W$12)</f>
        <v>0</v>
      </c>
      <c r="X68" s="183"/>
      <c r="Y68" s="183">
        <v>0</v>
      </c>
      <c r="Z68" s="183"/>
      <c r="AA68" s="183">
        <v>0</v>
      </c>
      <c r="AB68" s="182">
        <f t="shared" si="186"/>
        <v>0</v>
      </c>
      <c r="AC68" s="182">
        <f t="shared" si="186"/>
        <v>0</v>
      </c>
      <c r="AD68" s="182"/>
      <c r="AE68" s="182">
        <f>(AD68*$E68*$F68*$G68*$L68*$AE$12)</f>
        <v>0</v>
      </c>
      <c r="AF68" s="182"/>
      <c r="AG68" s="182"/>
      <c r="AH68" s="182"/>
      <c r="AI68" s="182">
        <f>(AH68*$E68*$F68*$G68*$L68*$AI$12)</f>
        <v>0</v>
      </c>
      <c r="AJ68" s="182"/>
      <c r="AK68" s="182"/>
      <c r="AL68" s="182"/>
      <c r="AM68" s="182"/>
      <c r="AN68" s="184"/>
      <c r="AO68" s="182">
        <f>(AN68*$E68*$F68*$G68*$L68*$AO$12)</f>
        <v>0</v>
      </c>
      <c r="AP68" s="182"/>
      <c r="AQ68" s="183">
        <f>(AP68*$E68*$F68*$G68*$L68*$AQ$12)</f>
        <v>0</v>
      </c>
      <c r="AR68" s="182"/>
      <c r="AS68" s="182">
        <f t="shared" si="241"/>
        <v>0</v>
      </c>
      <c r="AT68" s="182"/>
      <c r="AU68" s="182">
        <f t="shared" ref="AU68" si="244">(AT68*$E68*$F68*$G68*$M68*$AU$12)/12*10+(AT68*$E68*$F68*$G68*$M68*$AU$13)/12*2</f>
        <v>0</v>
      </c>
      <c r="AV68" s="188"/>
      <c r="AW68" s="182">
        <f>(AV68*$E68*$F68*$G68*$M68*$AW$12)</f>
        <v>0</v>
      </c>
      <c r="AX68" s="182"/>
      <c r="AY68" s="187">
        <f>(AX68*$E68*$F68*$G68*$M68*$AY$12)</f>
        <v>0</v>
      </c>
      <c r="AZ68" s="209"/>
      <c r="BA68" s="182">
        <f>(AZ68*$E68*$F68*$G68*$L68*$BA$12)</f>
        <v>0</v>
      </c>
      <c r="BB68" s="182"/>
      <c r="BC68" s="182">
        <f>(BB68*$E68*$F68*$G68*$L68*$BC$12)</f>
        <v>0</v>
      </c>
      <c r="BD68" s="182"/>
      <c r="BE68" s="182">
        <f>(BD68*$E68*$F68*$G68*$L68*$BE$12)</f>
        <v>0</v>
      </c>
      <c r="BF68" s="182"/>
      <c r="BG68" s="182">
        <f>(BF68*$E68*$F68*$G68*$L68*$BG$12)</f>
        <v>0</v>
      </c>
      <c r="BH68" s="182"/>
      <c r="BI68" s="183">
        <f>(BH68*$E68*$F68*$G68*$L68*$BI$12)</f>
        <v>0</v>
      </c>
      <c r="BJ68" s="182"/>
      <c r="BK68" s="183">
        <f>(BJ68*$E68*$F68*$G68*$L68*$BK$12)</f>
        <v>0</v>
      </c>
      <c r="BL68" s="182"/>
      <c r="BM68" s="182">
        <f>(BL68*$E68*$F68*$G68*$L68*$BM$12)</f>
        <v>0</v>
      </c>
      <c r="BN68" s="182"/>
      <c r="BO68" s="182">
        <f>(BN68*$E68*$F68*$G68*$M68*$BO$12)</f>
        <v>0</v>
      </c>
      <c r="BP68" s="182"/>
      <c r="BQ68" s="182">
        <f>(BP68*$E68*$F68*$G68*$M68*$BQ$12)</f>
        <v>0</v>
      </c>
      <c r="BR68" s="182"/>
      <c r="BS68" s="183">
        <f>(BR68*$E68*$F68*$G68*$M68*$BS$12)</f>
        <v>0</v>
      </c>
      <c r="BT68" s="182"/>
      <c r="BU68" s="182">
        <f>(BT68*$E68*$F68*$G68*$M68*$BU$12)</f>
        <v>0</v>
      </c>
      <c r="BV68" s="182"/>
      <c r="BW68" s="182">
        <f>(BV68*$E68*$F68*$G68*$M68*$BW$12)</f>
        <v>0</v>
      </c>
      <c r="BX68" s="182"/>
      <c r="BY68" s="183">
        <f>(BX68*$E68*$F68*$G68*$M68*$BY$12)</f>
        <v>0</v>
      </c>
      <c r="BZ68" s="182"/>
      <c r="CA68" s="187">
        <f>(BZ68*$E68*$F68*$G68*$M68*$CA$12)</f>
        <v>0</v>
      </c>
      <c r="CB68" s="182"/>
      <c r="CC68" s="182">
        <f>(CB68*$E68*$F68*$G68*$L68*$CC$12)</f>
        <v>0</v>
      </c>
      <c r="CD68" s="182"/>
      <c r="CE68" s="182">
        <f>(CD68*$E68*$F68*$G68*$L68*$CE$12)</f>
        <v>0</v>
      </c>
      <c r="CF68" s="182"/>
      <c r="CG68" s="182">
        <f>(CF68*$E68*$F68*$G68*$L68*$CG$12)</f>
        <v>0</v>
      </c>
      <c r="CH68" s="182"/>
      <c r="CI68" s="182">
        <f>(CH68/12*11*$E68*$F68*$G68*$M68*$CI$12)+(CH68/12*1*$E68*$F68*$H68*$M68*$CI$12)</f>
        <v>0</v>
      </c>
      <c r="CJ68" s="182"/>
      <c r="CK68" s="182"/>
      <c r="CL68" s="182"/>
      <c r="CM68" s="183">
        <f>(CL68*$E68*$F68*$G68*$L68*$CM$12)</f>
        <v>0</v>
      </c>
      <c r="CN68" s="182"/>
      <c r="CO68" s="183">
        <f>(CN68*$E68*$F68*$G68*$L68*$CO$12)</f>
        <v>0</v>
      </c>
      <c r="CP68" s="182"/>
      <c r="CQ68" s="182">
        <f>(CP68*$E68*$F68*$G68*$L68*$CQ$12)</f>
        <v>0</v>
      </c>
      <c r="CR68" s="182"/>
      <c r="CS68" s="182">
        <f>(CR68*$E68*$F68*$G68*$L68*$CS$12)</f>
        <v>0</v>
      </c>
      <c r="CT68" s="182"/>
      <c r="CU68" s="182">
        <f>(CT68*$E68*$F68*$G68*$L68*$CU$12)</f>
        <v>0</v>
      </c>
      <c r="CV68" s="182"/>
      <c r="CW68" s="182">
        <v>0</v>
      </c>
      <c r="CX68" s="182"/>
      <c r="CY68" s="182">
        <f>(CX68*$E68*$F68*$G68*$M68*$CY$12)</f>
        <v>0</v>
      </c>
      <c r="CZ68" s="182"/>
      <c r="DA68" s="182">
        <v>0</v>
      </c>
      <c r="DB68" s="188"/>
      <c r="DC68" s="182">
        <f>(DB68*$E68*$F68*$G68*$M68*$DC$12)</f>
        <v>0</v>
      </c>
      <c r="DD68" s="182"/>
      <c r="DE68" s="187">
        <f t="shared" si="242"/>
        <v>0</v>
      </c>
      <c r="DF68" s="182"/>
      <c r="DG68" s="182">
        <f>(DF68*$E68*$F68*$G68*$M68*$DG$12)</f>
        <v>0</v>
      </c>
      <c r="DH68" s="189"/>
      <c r="DI68" s="182">
        <f>(DH68*$E68*$F68*$G68*$M68*$BY$12)</f>
        <v>0</v>
      </c>
      <c r="DJ68" s="182"/>
      <c r="DK68" s="182">
        <f>(DJ68*$E68*$F68*$G68*$M68*$DK$12)</f>
        <v>0</v>
      </c>
      <c r="DL68" s="182"/>
      <c r="DM68" s="182">
        <f>(DL68*$E68*$F68*$G68*$N68*$DM$12)</f>
        <v>0</v>
      </c>
      <c r="DN68" s="182"/>
      <c r="DO68" s="190">
        <f>(DN68*$E68*$F68*$G68*$O68*$DO$12)</f>
        <v>0</v>
      </c>
      <c r="DP68" s="187"/>
      <c r="DQ68" s="187"/>
      <c r="DR68" s="183">
        <f t="shared" si="197"/>
        <v>224</v>
      </c>
      <c r="DS68" s="183">
        <f t="shared" si="197"/>
        <v>18977815.566826668</v>
      </c>
      <c r="DT68" s="182">
        <v>217</v>
      </c>
      <c r="DU68" s="182">
        <v>17553875.394999996</v>
      </c>
      <c r="DV68" s="167">
        <f t="shared" si="5"/>
        <v>7</v>
      </c>
      <c r="DW68" s="167">
        <f t="shared" si="5"/>
        <v>1423940.1718266718</v>
      </c>
    </row>
    <row r="69" spans="1:127" ht="29.25" customHeight="1" x14ac:dyDescent="0.25">
      <c r="A69" s="154"/>
      <c r="B69" s="176">
        <v>45</v>
      </c>
      <c r="C69" s="177" t="s">
        <v>233</v>
      </c>
      <c r="D69" s="248" t="s">
        <v>234</v>
      </c>
      <c r="E69" s="158">
        <v>25969</v>
      </c>
      <c r="F69" s="179">
        <v>2.23</v>
      </c>
      <c r="G69" s="168">
        <v>1</v>
      </c>
      <c r="H69" s="169"/>
      <c r="I69" s="169"/>
      <c r="J69" s="169"/>
      <c r="K69" s="106"/>
      <c r="L69" s="180">
        <v>1.4</v>
      </c>
      <c r="M69" s="180">
        <v>1.68</v>
      </c>
      <c r="N69" s="180">
        <v>2.23</v>
      </c>
      <c r="O69" s="181">
        <v>2.57</v>
      </c>
      <c r="P69" s="182"/>
      <c r="Q69" s="182">
        <f t="shared" ref="Q69:Q71" si="245">(P69*$E69*$F69*$G69*$L69)</f>
        <v>0</v>
      </c>
      <c r="R69" s="182"/>
      <c r="S69" s="187">
        <f t="shared" ref="S69:S71" si="246">(R69*$E69*$F69*$G69*$L69)</f>
        <v>0</v>
      </c>
      <c r="T69" s="182">
        <v>7</v>
      </c>
      <c r="U69" s="182">
        <f t="shared" ref="U69:U71" si="247">(T69*$E69*$F69*$G69*$L69)</f>
        <v>567526.52599999995</v>
      </c>
      <c r="V69" s="182"/>
      <c r="W69" s="182">
        <f t="shared" ref="W69:W71" si="248">(V69*$E69*$F69*$G69*$L69)</f>
        <v>0</v>
      </c>
      <c r="X69" s="182"/>
      <c r="Y69" s="182">
        <v>0</v>
      </c>
      <c r="Z69" s="182"/>
      <c r="AA69" s="182">
        <v>0</v>
      </c>
      <c r="AB69" s="182">
        <f t="shared" si="186"/>
        <v>0</v>
      </c>
      <c r="AC69" s="182">
        <f t="shared" si="186"/>
        <v>0</v>
      </c>
      <c r="AD69" s="182"/>
      <c r="AE69" s="182">
        <f t="shared" ref="AE69:AE71" si="249">(AD69*$E69*$F69*$G69*$L69)</f>
        <v>0</v>
      </c>
      <c r="AF69" s="182"/>
      <c r="AG69" s="182"/>
      <c r="AH69" s="182"/>
      <c r="AI69" s="182">
        <f t="shared" ref="AI69:AI71" si="250">(AH69*$E69*$F69*$G69*$L69)</f>
        <v>0</v>
      </c>
      <c r="AJ69" s="182"/>
      <c r="AK69" s="182"/>
      <c r="AL69" s="182"/>
      <c r="AM69" s="182"/>
      <c r="AN69" s="184"/>
      <c r="AO69" s="182">
        <f t="shared" ref="AO69:AO71" si="251">(AN69*$E69*$F69*$G69*$L69)</f>
        <v>0</v>
      </c>
      <c r="AP69" s="182"/>
      <c r="AQ69" s="182">
        <f t="shared" ref="AQ69:AQ71" si="252">(AP69*$E69*$F69*$G69*$L69)</f>
        <v>0</v>
      </c>
      <c r="AR69" s="182"/>
      <c r="AS69" s="182">
        <f t="shared" ref="AS69:AS71" si="253">(AR69*$E69*$F69*$G69*$L69)</f>
        <v>0</v>
      </c>
      <c r="AT69" s="182"/>
      <c r="AU69" s="183">
        <f t="shared" ref="AU69:AU71" si="254">(AT69*$E69*$F69*$G69*$M69)</f>
        <v>0</v>
      </c>
      <c r="AV69" s="188"/>
      <c r="AW69" s="182">
        <f t="shared" ref="AW69:AW71" si="255">(AV69*$E69*$F69*$G69*$M69)</f>
        <v>0</v>
      </c>
      <c r="AX69" s="182"/>
      <c r="AY69" s="187">
        <f t="shared" ref="AY69:AY71" si="256">(AX69*$E69*$F69*$G69*$M69)</f>
        <v>0</v>
      </c>
      <c r="AZ69" s="209"/>
      <c r="BA69" s="182">
        <f>(AZ69*$E69*$F69*$G69*$L69*$AO$12)</f>
        <v>0</v>
      </c>
      <c r="BB69" s="182"/>
      <c r="BC69" s="182">
        <f t="shared" ref="BC69:BC71" si="257">(BB69*$E69*$F69*$G69*$L69*BC$12)</f>
        <v>0</v>
      </c>
      <c r="BD69" s="182"/>
      <c r="BE69" s="182">
        <f>(BD69*$E69*$F69*$G69*$L69*BE$12)</f>
        <v>0</v>
      </c>
      <c r="BF69" s="182"/>
      <c r="BG69" s="182">
        <f t="shared" ref="BG69:BG71" si="258">(BF69*$E69*$F69*$G69*$L69)</f>
        <v>0</v>
      </c>
      <c r="BH69" s="182"/>
      <c r="BI69" s="182">
        <f t="shared" ref="BI69:BI71" si="259">(BH69*$E69*$F69*$G69*$L69)</f>
        <v>0</v>
      </c>
      <c r="BJ69" s="182"/>
      <c r="BK69" s="182"/>
      <c r="BL69" s="182"/>
      <c r="BM69" s="182">
        <f t="shared" ref="BM69:BM71" si="260">(BL69*$E69*$F69*$G69*$L69)</f>
        <v>0</v>
      </c>
      <c r="BN69" s="182"/>
      <c r="BO69" s="182">
        <f t="shared" ref="BO69:BO71" si="261">(BN69*$E69*$F69*$G69*$M69)</f>
        <v>0</v>
      </c>
      <c r="BP69" s="182"/>
      <c r="BQ69" s="182">
        <f t="shared" ref="BQ69:BQ71" si="262">(BP69*$E69*$F69*$G69*$M69)</f>
        <v>0</v>
      </c>
      <c r="BR69" s="182"/>
      <c r="BS69" s="182">
        <f t="shared" ref="BS69:BS71" si="263">(BR69*$E69*$F69*$G69*$M69)</f>
        <v>0</v>
      </c>
      <c r="BT69" s="182"/>
      <c r="BU69" s="182">
        <f t="shared" ref="BU69:BU71" si="264">(BT69*$E69*$F69*$G69*$M69)</f>
        <v>0</v>
      </c>
      <c r="BV69" s="182"/>
      <c r="BW69" s="182">
        <f t="shared" ref="BW69:BW71" si="265">(BV69*$E69*$F69*$G69*$M69)</f>
        <v>0</v>
      </c>
      <c r="BX69" s="182"/>
      <c r="BY69" s="182">
        <f t="shared" ref="BY69:BY71" si="266">(BX69*$E69*$F69*$G69*$M69)</f>
        <v>0</v>
      </c>
      <c r="BZ69" s="182"/>
      <c r="CA69" s="187">
        <f t="shared" ref="CA69:CA71" si="267">(BZ69*$E69*$F69*$G69*$M69)</f>
        <v>0</v>
      </c>
      <c r="CB69" s="182"/>
      <c r="CC69" s="182">
        <f t="shared" ref="CC69:CC71" si="268">(CB69*$E69*$F69*$G69*$L69)</f>
        <v>0</v>
      </c>
      <c r="CD69" s="182"/>
      <c r="CE69" s="183">
        <f t="shared" ref="CE69:CE71" si="269">(CD69*$E69*$F69*$G69*$L69)</f>
        <v>0</v>
      </c>
      <c r="CF69" s="182"/>
      <c r="CG69" s="182">
        <f t="shared" ref="CG69:CG71" si="270">(CF69*$E69*$F69*$G69*$L69)</f>
        <v>0</v>
      </c>
      <c r="CH69" s="182"/>
      <c r="CI69" s="182">
        <f t="shared" ref="CI69:CI71" si="271">(CH69*$E69*$F69*$G69*$M69)</f>
        <v>0</v>
      </c>
      <c r="CJ69" s="182"/>
      <c r="CK69" s="182"/>
      <c r="CL69" s="182"/>
      <c r="CM69" s="182">
        <f t="shared" ref="CM69:CM71" si="272">(CL69*$E69*$F69*$G69*$L69)</f>
        <v>0</v>
      </c>
      <c r="CN69" s="182"/>
      <c r="CO69" s="182">
        <f t="shared" ref="CO69:CO71" si="273">(CN69*$E69*$F69*$G69*$L69)</f>
        <v>0</v>
      </c>
      <c r="CP69" s="182"/>
      <c r="CQ69" s="182">
        <f t="shared" ref="CQ69:CQ71" si="274">(CP69*$E69*$F69*$G69*$L69)</f>
        <v>0</v>
      </c>
      <c r="CR69" s="182"/>
      <c r="CS69" s="182">
        <f t="shared" ref="CS69:CS71" si="275">(CR69*$E69*$F69*$G69*$L69)</f>
        <v>0</v>
      </c>
      <c r="CT69" s="182"/>
      <c r="CU69" s="182">
        <f t="shared" ref="CU69:CU71" si="276">(CT69*$E69*$F69*$G69*$L69)</f>
        <v>0</v>
      </c>
      <c r="CV69" s="182"/>
      <c r="CW69" s="182">
        <v>0</v>
      </c>
      <c r="CX69" s="182"/>
      <c r="CY69" s="182">
        <f t="shared" ref="CY69:CY71" si="277">(CX69*$E69*$F69*$G69*$M69)</f>
        <v>0</v>
      </c>
      <c r="CZ69" s="182"/>
      <c r="DA69" s="182">
        <v>0</v>
      </c>
      <c r="DB69" s="188"/>
      <c r="DC69" s="182">
        <f t="shared" ref="DC69:DC71" si="278">(DB69*$E69*$F69*$G69*$M69)</f>
        <v>0</v>
      </c>
      <c r="DD69" s="182"/>
      <c r="DE69" s="187">
        <f t="shared" ref="DE69:DE71" si="279">(DD69*$E69*$F69*$G69*$M69)</f>
        <v>0</v>
      </c>
      <c r="DF69" s="182"/>
      <c r="DG69" s="182"/>
      <c r="DH69" s="189"/>
      <c r="DI69" s="182">
        <f t="shared" ref="DI69:DI71" si="280">(DH69*$E69*$F69*$G69*$M69)</f>
        <v>0</v>
      </c>
      <c r="DJ69" s="182"/>
      <c r="DK69" s="182">
        <f t="shared" ref="DK69:DK71" si="281">(DJ69*$E69*$F69*$G69*$M69)</f>
        <v>0</v>
      </c>
      <c r="DL69" s="182"/>
      <c r="DM69" s="182">
        <f t="shared" ref="DM69:DM71" si="282">(DL69*$E69*$F69*$G69*$N69)</f>
        <v>0</v>
      </c>
      <c r="DN69" s="182"/>
      <c r="DO69" s="187">
        <f t="shared" ref="DO69:DO71" si="283">(DN69*$E69*$F69*$G69*$O69)</f>
        <v>0</v>
      </c>
      <c r="DP69" s="187"/>
      <c r="DQ69" s="187"/>
      <c r="DR69" s="183">
        <f t="shared" si="197"/>
        <v>7</v>
      </c>
      <c r="DS69" s="183">
        <f t="shared" si="197"/>
        <v>567526.52599999995</v>
      </c>
      <c r="DT69" s="182">
        <v>7</v>
      </c>
      <c r="DU69" s="182">
        <v>567526.52599999995</v>
      </c>
      <c r="DV69" s="167">
        <f t="shared" si="5"/>
        <v>0</v>
      </c>
      <c r="DW69" s="167">
        <f t="shared" si="5"/>
        <v>0</v>
      </c>
    </row>
    <row r="70" spans="1:127" ht="30" customHeight="1" x14ac:dyDescent="0.25">
      <c r="A70" s="154"/>
      <c r="B70" s="176">
        <v>46</v>
      </c>
      <c r="C70" s="177" t="s">
        <v>235</v>
      </c>
      <c r="D70" s="210" t="s">
        <v>236</v>
      </c>
      <c r="E70" s="158">
        <v>25969</v>
      </c>
      <c r="F70" s="179">
        <v>2.36</v>
      </c>
      <c r="G70" s="168">
        <v>1</v>
      </c>
      <c r="H70" s="169"/>
      <c r="I70" s="169"/>
      <c r="J70" s="169"/>
      <c r="K70" s="106"/>
      <c r="L70" s="180">
        <v>1.4</v>
      </c>
      <c r="M70" s="180">
        <v>1.68</v>
      </c>
      <c r="N70" s="180">
        <v>2.23</v>
      </c>
      <c r="O70" s="181">
        <v>2.57</v>
      </c>
      <c r="P70" s="182"/>
      <c r="Q70" s="182">
        <f t="shared" si="245"/>
        <v>0</v>
      </c>
      <c r="R70" s="182"/>
      <c r="S70" s="187">
        <f t="shared" si="246"/>
        <v>0</v>
      </c>
      <c r="T70" s="182">
        <v>2</v>
      </c>
      <c r="U70" s="182">
        <f t="shared" si="247"/>
        <v>171603.15199999997</v>
      </c>
      <c r="V70" s="182"/>
      <c r="W70" s="182">
        <f t="shared" si="248"/>
        <v>0</v>
      </c>
      <c r="X70" s="182"/>
      <c r="Y70" s="182">
        <v>0</v>
      </c>
      <c r="Z70" s="182"/>
      <c r="AA70" s="182">
        <v>0</v>
      </c>
      <c r="AB70" s="182">
        <f t="shared" si="186"/>
        <v>0</v>
      </c>
      <c r="AC70" s="182">
        <f t="shared" si="186"/>
        <v>0</v>
      </c>
      <c r="AD70" s="182"/>
      <c r="AE70" s="182">
        <f t="shared" si="249"/>
        <v>0</v>
      </c>
      <c r="AF70" s="182"/>
      <c r="AG70" s="182"/>
      <c r="AH70" s="182"/>
      <c r="AI70" s="182">
        <f t="shared" si="250"/>
        <v>0</v>
      </c>
      <c r="AJ70" s="182"/>
      <c r="AK70" s="182"/>
      <c r="AL70" s="182"/>
      <c r="AM70" s="182"/>
      <c r="AN70" s="184"/>
      <c r="AO70" s="182">
        <f t="shared" si="251"/>
        <v>0</v>
      </c>
      <c r="AP70" s="182"/>
      <c r="AQ70" s="182">
        <f t="shared" si="252"/>
        <v>0</v>
      </c>
      <c r="AR70" s="182"/>
      <c r="AS70" s="182">
        <f t="shared" si="253"/>
        <v>0</v>
      </c>
      <c r="AT70" s="182"/>
      <c r="AU70" s="183">
        <f t="shared" si="254"/>
        <v>0</v>
      </c>
      <c r="AV70" s="188"/>
      <c r="AW70" s="182">
        <f t="shared" si="255"/>
        <v>0</v>
      </c>
      <c r="AX70" s="182"/>
      <c r="AY70" s="187">
        <f t="shared" si="256"/>
        <v>0</v>
      </c>
      <c r="AZ70" s="182"/>
      <c r="BA70" s="182">
        <f>(AZ70*$E70*$F70*$G70*$L70*$AO$12)</f>
        <v>0</v>
      </c>
      <c r="BB70" s="182"/>
      <c r="BC70" s="182">
        <f t="shared" si="257"/>
        <v>0</v>
      </c>
      <c r="BD70" s="182"/>
      <c r="BE70" s="182">
        <f>(BD70*$E70*$F70*$G70*$L70*BE$12)</f>
        <v>0</v>
      </c>
      <c r="BF70" s="182"/>
      <c r="BG70" s="182">
        <f t="shared" si="258"/>
        <v>0</v>
      </c>
      <c r="BH70" s="182"/>
      <c r="BI70" s="182">
        <f t="shared" si="259"/>
        <v>0</v>
      </c>
      <c r="BJ70" s="182"/>
      <c r="BK70" s="182"/>
      <c r="BL70" s="182"/>
      <c r="BM70" s="182">
        <f t="shared" si="260"/>
        <v>0</v>
      </c>
      <c r="BN70" s="182"/>
      <c r="BO70" s="182">
        <f t="shared" si="261"/>
        <v>0</v>
      </c>
      <c r="BP70" s="182"/>
      <c r="BQ70" s="182">
        <f t="shared" si="262"/>
        <v>0</v>
      </c>
      <c r="BR70" s="182"/>
      <c r="BS70" s="182">
        <f t="shared" si="263"/>
        <v>0</v>
      </c>
      <c r="BT70" s="182"/>
      <c r="BU70" s="182">
        <f t="shared" si="264"/>
        <v>0</v>
      </c>
      <c r="BV70" s="182"/>
      <c r="BW70" s="182">
        <f t="shared" si="265"/>
        <v>0</v>
      </c>
      <c r="BX70" s="182"/>
      <c r="BY70" s="182">
        <f t="shared" si="266"/>
        <v>0</v>
      </c>
      <c r="BZ70" s="182"/>
      <c r="CA70" s="187">
        <f t="shared" si="267"/>
        <v>0</v>
      </c>
      <c r="CB70" s="182"/>
      <c r="CC70" s="182">
        <f t="shared" si="268"/>
        <v>0</v>
      </c>
      <c r="CD70" s="182"/>
      <c r="CE70" s="183">
        <f t="shared" si="269"/>
        <v>0</v>
      </c>
      <c r="CF70" s="182"/>
      <c r="CG70" s="182">
        <f t="shared" si="270"/>
        <v>0</v>
      </c>
      <c r="CH70" s="182"/>
      <c r="CI70" s="182">
        <f t="shared" si="271"/>
        <v>0</v>
      </c>
      <c r="CJ70" s="182"/>
      <c r="CK70" s="182"/>
      <c r="CL70" s="182"/>
      <c r="CM70" s="182">
        <f t="shared" si="272"/>
        <v>0</v>
      </c>
      <c r="CN70" s="182"/>
      <c r="CO70" s="182">
        <f t="shared" si="273"/>
        <v>0</v>
      </c>
      <c r="CP70" s="182"/>
      <c r="CQ70" s="182">
        <f t="shared" si="274"/>
        <v>0</v>
      </c>
      <c r="CR70" s="182"/>
      <c r="CS70" s="182">
        <f t="shared" si="275"/>
        <v>0</v>
      </c>
      <c r="CT70" s="182"/>
      <c r="CU70" s="182">
        <f t="shared" si="276"/>
        <v>0</v>
      </c>
      <c r="CV70" s="182"/>
      <c r="CW70" s="182">
        <v>0</v>
      </c>
      <c r="CX70" s="182"/>
      <c r="CY70" s="182">
        <f t="shared" si="277"/>
        <v>0</v>
      </c>
      <c r="CZ70" s="182"/>
      <c r="DA70" s="182">
        <v>0</v>
      </c>
      <c r="DB70" s="188"/>
      <c r="DC70" s="182">
        <f t="shared" si="278"/>
        <v>0</v>
      </c>
      <c r="DD70" s="182"/>
      <c r="DE70" s="187">
        <f t="shared" si="279"/>
        <v>0</v>
      </c>
      <c r="DF70" s="182"/>
      <c r="DG70" s="182"/>
      <c r="DH70" s="189"/>
      <c r="DI70" s="182">
        <f t="shared" si="280"/>
        <v>0</v>
      </c>
      <c r="DJ70" s="182"/>
      <c r="DK70" s="182">
        <f t="shared" si="281"/>
        <v>0</v>
      </c>
      <c r="DL70" s="182"/>
      <c r="DM70" s="182">
        <f t="shared" si="282"/>
        <v>0</v>
      </c>
      <c r="DN70" s="182"/>
      <c r="DO70" s="187">
        <f t="shared" si="283"/>
        <v>0</v>
      </c>
      <c r="DP70" s="187"/>
      <c r="DQ70" s="187"/>
      <c r="DR70" s="183">
        <f t="shared" si="197"/>
        <v>2</v>
      </c>
      <c r="DS70" s="183">
        <f t="shared" si="197"/>
        <v>171603.15199999997</v>
      </c>
      <c r="DT70" s="182">
        <v>2</v>
      </c>
      <c r="DU70" s="182">
        <v>171603.15199999997</v>
      </c>
      <c r="DV70" s="167">
        <f t="shared" si="5"/>
        <v>0</v>
      </c>
      <c r="DW70" s="167">
        <f t="shared" si="5"/>
        <v>0</v>
      </c>
    </row>
    <row r="71" spans="1:127" ht="30" customHeight="1" x14ac:dyDescent="0.25">
      <c r="A71" s="154"/>
      <c r="B71" s="176">
        <v>47</v>
      </c>
      <c r="C71" s="177" t="s">
        <v>237</v>
      </c>
      <c r="D71" s="210" t="s">
        <v>238</v>
      </c>
      <c r="E71" s="158">
        <v>25969</v>
      </c>
      <c r="F71" s="179">
        <v>4.28</v>
      </c>
      <c r="G71" s="168">
        <v>1</v>
      </c>
      <c r="H71" s="169"/>
      <c r="I71" s="169"/>
      <c r="J71" s="169"/>
      <c r="K71" s="106"/>
      <c r="L71" s="180">
        <v>1.4</v>
      </c>
      <c r="M71" s="180">
        <v>1.68</v>
      </c>
      <c r="N71" s="180">
        <v>2.23</v>
      </c>
      <c r="O71" s="181">
        <v>2.57</v>
      </c>
      <c r="P71" s="182"/>
      <c r="Q71" s="182">
        <f t="shared" si="245"/>
        <v>0</v>
      </c>
      <c r="R71" s="182"/>
      <c r="S71" s="187">
        <f t="shared" si="246"/>
        <v>0</v>
      </c>
      <c r="T71" s="182">
        <v>8</v>
      </c>
      <c r="U71" s="182">
        <f t="shared" si="247"/>
        <v>1244849.9839999999</v>
      </c>
      <c r="V71" s="182"/>
      <c r="W71" s="182">
        <f t="shared" si="248"/>
        <v>0</v>
      </c>
      <c r="X71" s="182"/>
      <c r="Y71" s="182">
        <v>0</v>
      </c>
      <c r="Z71" s="182"/>
      <c r="AA71" s="182">
        <v>0</v>
      </c>
      <c r="AB71" s="182">
        <f t="shared" si="186"/>
        <v>0</v>
      </c>
      <c r="AC71" s="182">
        <f t="shared" si="186"/>
        <v>0</v>
      </c>
      <c r="AD71" s="182"/>
      <c r="AE71" s="182">
        <f t="shared" si="249"/>
        <v>0</v>
      </c>
      <c r="AF71" s="182"/>
      <c r="AG71" s="182"/>
      <c r="AH71" s="182"/>
      <c r="AI71" s="182">
        <f t="shared" si="250"/>
        <v>0</v>
      </c>
      <c r="AJ71" s="182"/>
      <c r="AK71" s="182"/>
      <c r="AL71" s="182"/>
      <c r="AM71" s="182"/>
      <c r="AN71" s="184"/>
      <c r="AO71" s="182">
        <f t="shared" si="251"/>
        <v>0</v>
      </c>
      <c r="AP71" s="182"/>
      <c r="AQ71" s="182">
        <f t="shared" si="252"/>
        <v>0</v>
      </c>
      <c r="AR71" s="182"/>
      <c r="AS71" s="182">
        <f t="shared" si="253"/>
        <v>0</v>
      </c>
      <c r="AT71" s="182"/>
      <c r="AU71" s="183">
        <f t="shared" si="254"/>
        <v>0</v>
      </c>
      <c r="AV71" s="188"/>
      <c r="AW71" s="182">
        <f t="shared" si="255"/>
        <v>0</v>
      </c>
      <c r="AX71" s="182"/>
      <c r="AY71" s="187">
        <f t="shared" si="256"/>
        <v>0</v>
      </c>
      <c r="AZ71" s="182"/>
      <c r="BA71" s="182">
        <f>(AZ71*$E71*$F71*$G71*$L71*$AO$12)</f>
        <v>0</v>
      </c>
      <c r="BB71" s="182"/>
      <c r="BC71" s="182">
        <f t="shared" si="257"/>
        <v>0</v>
      </c>
      <c r="BD71" s="182"/>
      <c r="BE71" s="182">
        <f>(BD71*$E71*$F71*$G71*$L71*BE$12)</f>
        <v>0</v>
      </c>
      <c r="BF71" s="182"/>
      <c r="BG71" s="182">
        <f t="shared" si="258"/>
        <v>0</v>
      </c>
      <c r="BH71" s="182"/>
      <c r="BI71" s="182">
        <f t="shared" si="259"/>
        <v>0</v>
      </c>
      <c r="BJ71" s="182"/>
      <c r="BK71" s="182"/>
      <c r="BL71" s="182"/>
      <c r="BM71" s="182">
        <f t="shared" si="260"/>
        <v>0</v>
      </c>
      <c r="BN71" s="182"/>
      <c r="BO71" s="182">
        <f t="shared" si="261"/>
        <v>0</v>
      </c>
      <c r="BP71" s="182"/>
      <c r="BQ71" s="182">
        <f t="shared" si="262"/>
        <v>0</v>
      </c>
      <c r="BR71" s="182"/>
      <c r="BS71" s="182">
        <f t="shared" si="263"/>
        <v>0</v>
      </c>
      <c r="BT71" s="182"/>
      <c r="BU71" s="182">
        <f t="shared" si="264"/>
        <v>0</v>
      </c>
      <c r="BV71" s="182"/>
      <c r="BW71" s="182">
        <f t="shared" si="265"/>
        <v>0</v>
      </c>
      <c r="BX71" s="182"/>
      <c r="BY71" s="182">
        <f t="shared" si="266"/>
        <v>0</v>
      </c>
      <c r="BZ71" s="182"/>
      <c r="CA71" s="187">
        <f t="shared" si="267"/>
        <v>0</v>
      </c>
      <c r="CB71" s="182"/>
      <c r="CC71" s="182">
        <f t="shared" si="268"/>
        <v>0</v>
      </c>
      <c r="CD71" s="182"/>
      <c r="CE71" s="183">
        <f t="shared" si="269"/>
        <v>0</v>
      </c>
      <c r="CF71" s="182"/>
      <c r="CG71" s="182">
        <f t="shared" si="270"/>
        <v>0</v>
      </c>
      <c r="CH71" s="182"/>
      <c r="CI71" s="182">
        <f t="shared" si="271"/>
        <v>0</v>
      </c>
      <c r="CJ71" s="182"/>
      <c r="CK71" s="182"/>
      <c r="CL71" s="182"/>
      <c r="CM71" s="182">
        <f t="shared" si="272"/>
        <v>0</v>
      </c>
      <c r="CN71" s="182"/>
      <c r="CO71" s="182">
        <f t="shared" si="273"/>
        <v>0</v>
      </c>
      <c r="CP71" s="182"/>
      <c r="CQ71" s="182">
        <f t="shared" si="274"/>
        <v>0</v>
      </c>
      <c r="CR71" s="182"/>
      <c r="CS71" s="182">
        <f t="shared" si="275"/>
        <v>0</v>
      </c>
      <c r="CT71" s="182"/>
      <c r="CU71" s="182">
        <f t="shared" si="276"/>
        <v>0</v>
      </c>
      <c r="CV71" s="182"/>
      <c r="CW71" s="182">
        <v>0</v>
      </c>
      <c r="CX71" s="182"/>
      <c r="CY71" s="182">
        <f t="shared" si="277"/>
        <v>0</v>
      </c>
      <c r="CZ71" s="182"/>
      <c r="DA71" s="182">
        <v>0</v>
      </c>
      <c r="DB71" s="188"/>
      <c r="DC71" s="182">
        <f t="shared" si="278"/>
        <v>0</v>
      </c>
      <c r="DD71" s="182"/>
      <c r="DE71" s="187">
        <f t="shared" si="279"/>
        <v>0</v>
      </c>
      <c r="DF71" s="182"/>
      <c r="DG71" s="182"/>
      <c r="DH71" s="189"/>
      <c r="DI71" s="182">
        <f t="shared" si="280"/>
        <v>0</v>
      </c>
      <c r="DJ71" s="182"/>
      <c r="DK71" s="182">
        <f t="shared" si="281"/>
        <v>0</v>
      </c>
      <c r="DL71" s="182"/>
      <c r="DM71" s="182">
        <f t="shared" si="282"/>
        <v>0</v>
      </c>
      <c r="DN71" s="182"/>
      <c r="DO71" s="187">
        <f t="shared" si="283"/>
        <v>0</v>
      </c>
      <c r="DP71" s="187"/>
      <c r="DQ71" s="187"/>
      <c r="DR71" s="183">
        <f t="shared" si="197"/>
        <v>8</v>
      </c>
      <c r="DS71" s="183">
        <f t="shared" si="197"/>
        <v>1244849.9839999999</v>
      </c>
      <c r="DT71" s="182">
        <v>8</v>
      </c>
      <c r="DU71" s="182">
        <v>1244849.9839999999</v>
      </c>
      <c r="DV71" s="167">
        <f t="shared" si="5"/>
        <v>0</v>
      </c>
      <c r="DW71" s="167">
        <f t="shared" si="5"/>
        <v>0</v>
      </c>
    </row>
    <row r="72" spans="1:127" ht="15.75" customHeight="1" x14ac:dyDescent="0.25">
      <c r="A72" s="170">
        <v>10</v>
      </c>
      <c r="B72" s="197"/>
      <c r="C72" s="198"/>
      <c r="D72" s="211" t="s">
        <v>239</v>
      </c>
      <c r="E72" s="158">
        <v>25969</v>
      </c>
      <c r="F72" s="199">
        <v>1.1000000000000001</v>
      </c>
      <c r="G72" s="171"/>
      <c r="H72" s="169"/>
      <c r="I72" s="169"/>
      <c r="J72" s="169"/>
      <c r="K72" s="173"/>
      <c r="L72" s="174">
        <v>1.4</v>
      </c>
      <c r="M72" s="174">
        <v>1.68</v>
      </c>
      <c r="N72" s="174">
        <v>2.23</v>
      </c>
      <c r="O72" s="175">
        <v>2.57</v>
      </c>
      <c r="P72" s="166">
        <f t="shared" ref="P72:AD72" si="284">SUM(P73:P79)</f>
        <v>0</v>
      </c>
      <c r="Q72" s="166">
        <f t="shared" si="284"/>
        <v>0</v>
      </c>
      <c r="R72" s="166">
        <f t="shared" ref="R72" si="285">SUM(R73:R79)</f>
        <v>0</v>
      </c>
      <c r="S72" s="166">
        <f t="shared" si="284"/>
        <v>0</v>
      </c>
      <c r="T72" s="166">
        <f t="shared" si="284"/>
        <v>596</v>
      </c>
      <c r="U72" s="166">
        <f t="shared" si="284"/>
        <v>29492814.763125002</v>
      </c>
      <c r="V72" s="166">
        <f t="shared" si="284"/>
        <v>22</v>
      </c>
      <c r="W72" s="166">
        <f t="shared" si="284"/>
        <v>3991158.2164485543</v>
      </c>
      <c r="X72" s="166">
        <v>0</v>
      </c>
      <c r="Y72" s="166">
        <v>0</v>
      </c>
      <c r="Z72" s="166">
        <v>0</v>
      </c>
      <c r="AA72" s="166">
        <v>0</v>
      </c>
      <c r="AB72" s="166">
        <f t="shared" si="284"/>
        <v>0</v>
      </c>
      <c r="AC72" s="166">
        <f t="shared" si="284"/>
        <v>0</v>
      </c>
      <c r="AD72" s="166">
        <f t="shared" si="284"/>
        <v>0</v>
      </c>
      <c r="AE72" s="166">
        <f t="shared" ref="AE72:CP72" si="286">SUM(AE73:AE79)</f>
        <v>0</v>
      </c>
      <c r="AF72" s="166">
        <f t="shared" si="286"/>
        <v>0</v>
      </c>
      <c r="AG72" s="166">
        <f t="shared" si="286"/>
        <v>0</v>
      </c>
      <c r="AH72" s="166">
        <f t="shared" si="286"/>
        <v>0</v>
      </c>
      <c r="AI72" s="166">
        <f t="shared" si="286"/>
        <v>0</v>
      </c>
      <c r="AJ72" s="166">
        <f>SUM(AJ73:AJ79)</f>
        <v>0</v>
      </c>
      <c r="AK72" s="166">
        <f>SUM(AK73:AK79)</f>
        <v>0</v>
      </c>
      <c r="AL72" s="166">
        <f t="shared" si="286"/>
        <v>0</v>
      </c>
      <c r="AM72" s="166">
        <f t="shared" si="286"/>
        <v>0</v>
      </c>
      <c r="AN72" s="166">
        <f t="shared" si="286"/>
        <v>0</v>
      </c>
      <c r="AO72" s="166">
        <f t="shared" si="286"/>
        <v>0</v>
      </c>
      <c r="AP72" s="166">
        <f t="shared" si="286"/>
        <v>0</v>
      </c>
      <c r="AQ72" s="166">
        <f t="shared" si="286"/>
        <v>0</v>
      </c>
      <c r="AR72" s="166">
        <f t="shared" si="286"/>
        <v>0</v>
      </c>
      <c r="AS72" s="166">
        <f t="shared" si="286"/>
        <v>0</v>
      </c>
      <c r="AT72" s="166">
        <f t="shared" si="286"/>
        <v>226</v>
      </c>
      <c r="AU72" s="166">
        <f t="shared" si="286"/>
        <v>9926803.557212431</v>
      </c>
      <c r="AV72" s="166">
        <f t="shared" si="286"/>
        <v>0</v>
      </c>
      <c r="AW72" s="166">
        <f t="shared" si="286"/>
        <v>0</v>
      </c>
      <c r="AX72" s="166">
        <f t="shared" si="286"/>
        <v>0</v>
      </c>
      <c r="AY72" s="166">
        <f t="shared" si="286"/>
        <v>0</v>
      </c>
      <c r="AZ72" s="166">
        <f t="shared" si="286"/>
        <v>0</v>
      </c>
      <c r="BA72" s="166">
        <f t="shared" si="286"/>
        <v>0</v>
      </c>
      <c r="BB72" s="166">
        <f t="shared" si="286"/>
        <v>0</v>
      </c>
      <c r="BC72" s="166">
        <f t="shared" si="286"/>
        <v>0</v>
      </c>
      <c r="BD72" s="166">
        <f t="shared" si="286"/>
        <v>0</v>
      </c>
      <c r="BE72" s="166">
        <f t="shared" si="286"/>
        <v>0</v>
      </c>
      <c r="BF72" s="166">
        <f t="shared" si="286"/>
        <v>0</v>
      </c>
      <c r="BG72" s="166">
        <f t="shared" si="286"/>
        <v>0</v>
      </c>
      <c r="BH72" s="166">
        <f t="shared" si="286"/>
        <v>0</v>
      </c>
      <c r="BI72" s="166">
        <f t="shared" si="286"/>
        <v>0</v>
      </c>
      <c r="BJ72" s="166">
        <f t="shared" si="286"/>
        <v>0</v>
      </c>
      <c r="BK72" s="166">
        <f t="shared" si="286"/>
        <v>0</v>
      </c>
      <c r="BL72" s="166">
        <f t="shared" si="286"/>
        <v>25</v>
      </c>
      <c r="BM72" s="166">
        <f t="shared" si="286"/>
        <v>699864.54999999993</v>
      </c>
      <c r="BN72" s="166">
        <f t="shared" si="286"/>
        <v>3</v>
      </c>
      <c r="BO72" s="166">
        <f t="shared" si="286"/>
        <v>115177.70880000001</v>
      </c>
      <c r="BP72" s="166">
        <f t="shared" si="286"/>
        <v>0</v>
      </c>
      <c r="BQ72" s="166">
        <f t="shared" si="286"/>
        <v>0</v>
      </c>
      <c r="BR72" s="166">
        <f t="shared" si="286"/>
        <v>0</v>
      </c>
      <c r="BS72" s="166">
        <f t="shared" si="286"/>
        <v>0</v>
      </c>
      <c r="BT72" s="166">
        <f t="shared" si="286"/>
        <v>22</v>
      </c>
      <c r="BU72" s="166">
        <f t="shared" si="286"/>
        <v>853637.142699152</v>
      </c>
      <c r="BV72" s="166">
        <f t="shared" si="286"/>
        <v>0</v>
      </c>
      <c r="BW72" s="166">
        <f t="shared" si="286"/>
        <v>0</v>
      </c>
      <c r="BX72" s="166">
        <f t="shared" si="286"/>
        <v>12</v>
      </c>
      <c r="BY72" s="166">
        <f t="shared" si="286"/>
        <v>422318.26560000004</v>
      </c>
      <c r="BZ72" s="166">
        <f t="shared" si="286"/>
        <v>17</v>
      </c>
      <c r="CA72" s="166">
        <f t="shared" si="286"/>
        <v>580687.6152</v>
      </c>
      <c r="CB72" s="166">
        <f t="shared" si="286"/>
        <v>0</v>
      </c>
      <c r="CC72" s="166">
        <f t="shared" si="286"/>
        <v>0</v>
      </c>
      <c r="CD72" s="166">
        <f t="shared" si="286"/>
        <v>0</v>
      </c>
      <c r="CE72" s="166">
        <f t="shared" si="286"/>
        <v>0</v>
      </c>
      <c r="CF72" s="166">
        <f t="shared" si="286"/>
        <v>0</v>
      </c>
      <c r="CG72" s="166">
        <f t="shared" si="286"/>
        <v>0</v>
      </c>
      <c r="CH72" s="166">
        <f t="shared" si="286"/>
        <v>6</v>
      </c>
      <c r="CI72" s="166">
        <f t="shared" si="286"/>
        <v>206360.06160000002</v>
      </c>
      <c r="CJ72" s="166">
        <f t="shared" si="286"/>
        <v>0</v>
      </c>
      <c r="CK72" s="166">
        <f t="shared" si="286"/>
        <v>0</v>
      </c>
      <c r="CL72" s="166">
        <f t="shared" si="286"/>
        <v>0</v>
      </c>
      <c r="CM72" s="166">
        <f t="shared" si="286"/>
        <v>0</v>
      </c>
      <c r="CN72" s="166">
        <f t="shared" si="286"/>
        <v>0</v>
      </c>
      <c r="CO72" s="166">
        <f t="shared" si="286"/>
        <v>0</v>
      </c>
      <c r="CP72" s="166">
        <f t="shared" si="286"/>
        <v>28</v>
      </c>
      <c r="CQ72" s="166">
        <f t="shared" ref="CQ72:DQ72" si="287">SUM(CQ73:CQ79)</f>
        <v>823840.5560000001</v>
      </c>
      <c r="CR72" s="166">
        <f t="shared" si="287"/>
        <v>5</v>
      </c>
      <c r="CS72" s="166">
        <f t="shared" si="287"/>
        <v>143972.136</v>
      </c>
      <c r="CT72" s="166">
        <f t="shared" si="287"/>
        <v>9</v>
      </c>
      <c r="CU72" s="166">
        <f t="shared" si="287"/>
        <v>251951.23800000001</v>
      </c>
      <c r="CV72" s="166">
        <f t="shared" si="287"/>
        <v>47</v>
      </c>
      <c r="CW72" s="166">
        <v>1884289.9100000001</v>
      </c>
      <c r="CX72" s="166">
        <f t="shared" si="287"/>
        <v>18</v>
      </c>
      <c r="CY72" s="166">
        <f t="shared" si="287"/>
        <v>934982.60221547994</v>
      </c>
      <c r="CZ72" s="166">
        <f t="shared" si="287"/>
        <v>0</v>
      </c>
      <c r="DA72" s="166">
        <v>0</v>
      </c>
      <c r="DB72" s="166">
        <f t="shared" si="287"/>
        <v>0</v>
      </c>
      <c r="DC72" s="166">
        <f t="shared" si="287"/>
        <v>0</v>
      </c>
      <c r="DD72" s="166">
        <f t="shared" si="287"/>
        <v>0</v>
      </c>
      <c r="DE72" s="166">
        <f t="shared" si="287"/>
        <v>0</v>
      </c>
      <c r="DF72" s="166">
        <f t="shared" si="287"/>
        <v>0</v>
      </c>
      <c r="DG72" s="166">
        <f t="shared" si="287"/>
        <v>0</v>
      </c>
      <c r="DH72" s="166">
        <f t="shared" si="287"/>
        <v>0</v>
      </c>
      <c r="DI72" s="166">
        <f t="shared" si="287"/>
        <v>0</v>
      </c>
      <c r="DJ72" s="166">
        <f t="shared" si="287"/>
        <v>12</v>
      </c>
      <c r="DK72" s="166">
        <f t="shared" si="287"/>
        <v>412720.12320000003</v>
      </c>
      <c r="DL72" s="166">
        <f t="shared" si="287"/>
        <v>0</v>
      </c>
      <c r="DM72" s="166">
        <f t="shared" si="287"/>
        <v>0</v>
      </c>
      <c r="DN72" s="166">
        <f t="shared" si="287"/>
        <v>0</v>
      </c>
      <c r="DO72" s="166">
        <f t="shared" si="287"/>
        <v>0</v>
      </c>
      <c r="DP72" s="166">
        <f t="shared" si="287"/>
        <v>0</v>
      </c>
      <c r="DQ72" s="166">
        <f t="shared" si="287"/>
        <v>0</v>
      </c>
      <c r="DR72" s="166">
        <f>SUM(DR73:DR79)</f>
        <v>1048</v>
      </c>
      <c r="DS72" s="166">
        <f t="shared" ref="DS72" si="288">SUM(DS73:DS79)</f>
        <v>50740578.446100608</v>
      </c>
      <c r="DT72" s="166">
        <v>1048</v>
      </c>
      <c r="DU72" s="166">
        <v>50464112.137533322</v>
      </c>
      <c r="DV72" s="167">
        <f t="shared" si="5"/>
        <v>0</v>
      </c>
      <c r="DW72" s="167">
        <f t="shared" si="5"/>
        <v>276466.30856728554</v>
      </c>
    </row>
    <row r="73" spans="1:127" ht="16.5" customHeight="1" x14ac:dyDescent="0.25">
      <c r="A73" s="154"/>
      <c r="B73" s="176">
        <v>48</v>
      </c>
      <c r="C73" s="177" t="s">
        <v>240</v>
      </c>
      <c r="D73" s="210" t="s">
        <v>241</v>
      </c>
      <c r="E73" s="158">
        <v>25969</v>
      </c>
      <c r="F73" s="179">
        <v>2.95</v>
      </c>
      <c r="G73" s="168">
        <v>1</v>
      </c>
      <c r="H73" s="169"/>
      <c r="I73" s="169"/>
      <c r="J73" s="169"/>
      <c r="K73" s="106"/>
      <c r="L73" s="180">
        <v>1.4</v>
      </c>
      <c r="M73" s="180">
        <v>1.68</v>
      </c>
      <c r="N73" s="180">
        <v>2.23</v>
      </c>
      <c r="O73" s="181">
        <v>2.57</v>
      </c>
      <c r="P73" s="182"/>
      <c r="Q73" s="182">
        <f>(P73*$E73*$F73*$G73*$L73*$Q$12)</f>
        <v>0</v>
      </c>
      <c r="R73" s="182"/>
      <c r="S73" s="182">
        <f>(R73*$E73*$F73*$G73*$L73*$S$12)</f>
        <v>0</v>
      </c>
      <c r="T73" s="182">
        <v>100</v>
      </c>
      <c r="U73" s="182">
        <f t="shared" ref="U73:U74" si="289">(T73/12*11*$E73*$F73*$G73*$L73*$U$12)+(T73/12*1*$E73*$F73*$G73*$L73*$U$14)</f>
        <v>13540561.2125</v>
      </c>
      <c r="V73" s="182">
        <v>13</v>
      </c>
      <c r="W73" s="183">
        <f t="shared" ref="W73:W74" si="290">(V73*$E73*$F73*$G73*$L73*$W$12)/12*10+(V73*$E73*$F73*$G73*$L73*$W$13)/12*1+(V73*$E73*$F73*$G73*$L73*$W$14*$W$15)/12*1</f>
        <v>1773180.2317053066</v>
      </c>
      <c r="X73" s="183"/>
      <c r="Y73" s="183">
        <v>0</v>
      </c>
      <c r="Z73" s="183"/>
      <c r="AA73" s="183">
        <v>0</v>
      </c>
      <c r="AB73" s="182">
        <f t="shared" ref="AB73:AC79" si="291">X73+Z73</f>
        <v>0</v>
      </c>
      <c r="AC73" s="182">
        <f t="shared" si="291"/>
        <v>0</v>
      </c>
      <c r="AD73" s="182"/>
      <c r="AE73" s="182">
        <f>(AD73*$E73*$F73*$G73*$L73*$AE$12)</f>
        <v>0</v>
      </c>
      <c r="AF73" s="182"/>
      <c r="AG73" s="182"/>
      <c r="AH73" s="182"/>
      <c r="AI73" s="182">
        <f>(AH73*$E73*$F73*$G73*$L73*$AI$12)</f>
        <v>0</v>
      </c>
      <c r="AJ73" s="182"/>
      <c r="AK73" s="182"/>
      <c r="AL73" s="182"/>
      <c r="AM73" s="182"/>
      <c r="AN73" s="182"/>
      <c r="AO73" s="182">
        <f>(AN73*$E73*$F73*$G73*$L73*$AO$12)</f>
        <v>0</v>
      </c>
      <c r="AP73" s="182"/>
      <c r="AQ73" s="183">
        <f>(AP73*$E73*$F73*$G73*$L73*$AQ$12)</f>
        <v>0</v>
      </c>
      <c r="AR73" s="182"/>
      <c r="AS73" s="182">
        <f t="shared" ref="AS73:AS74" si="292">(AR73*$E73*$F73*$G73*$L73*$AS$12)/12*10+(AR73*$E73*$F73*$G73*$L73*$AS$13)/12*1+(AR73*$E73*$F73*$G73*$L73*$AS$14)/12*1</f>
        <v>0</v>
      </c>
      <c r="AT73" s="182">
        <f>20-4</f>
        <v>16</v>
      </c>
      <c r="AU73" s="182">
        <f>(AT73*$E73*$F73*$G73*$M73*$AU$12)/12*10+(AT73*$E73*$F73*$G73*$M73*$AU$13)/12+(AT73*$E73*$F73*$G73*$M73*$AU$14*$AU$15)/12</f>
        <v>2373064.6387586887</v>
      </c>
      <c r="AV73" s="188"/>
      <c r="AW73" s="182">
        <f>(AV73*$E73*$F73*$G73*$M73*$AW$12)</f>
        <v>0</v>
      </c>
      <c r="AX73" s="182"/>
      <c r="AY73" s="187">
        <f>(AX73*$E73*$F73*$G73*$M73*$AY$12)</f>
        <v>0</v>
      </c>
      <c r="AZ73" s="182"/>
      <c r="BA73" s="182">
        <f>(AZ73*$E73*$F73*$G73*$L73*$BA$12)</f>
        <v>0</v>
      </c>
      <c r="BB73" s="182">
        <v>0</v>
      </c>
      <c r="BC73" s="182">
        <f>(BB73*$E73*$F73*$G73*$L73*$BC$12)</f>
        <v>0</v>
      </c>
      <c r="BD73" s="182"/>
      <c r="BE73" s="182">
        <f>(BD73*$E73*$F73*$G73*$L73*$BE$12)</f>
        <v>0</v>
      </c>
      <c r="BF73" s="182"/>
      <c r="BG73" s="182">
        <f>(BF73*$E73*$F73*$G73*$L73*$BG$12)</f>
        <v>0</v>
      </c>
      <c r="BH73" s="182"/>
      <c r="BI73" s="183">
        <f>(BH73*$E73*$F73*$G73*$L73*$BI$12)</f>
        <v>0</v>
      </c>
      <c r="BJ73" s="182"/>
      <c r="BK73" s="183">
        <f>(BJ73*$E73*$F73*$G73*$L73*$BK$12)</f>
        <v>0</v>
      </c>
      <c r="BL73" s="182"/>
      <c r="BM73" s="182">
        <f>(BL73*$E73*$F73*$G73*$L73*$BM$12)</f>
        <v>0</v>
      </c>
      <c r="BN73" s="182"/>
      <c r="BO73" s="182">
        <f>(BN73*$E73*$F73*$G73*$M73*$BO$12)</f>
        <v>0</v>
      </c>
      <c r="BP73" s="182"/>
      <c r="BQ73" s="182">
        <f>(BP73*$E73*$F73*$G73*$M73*$BQ$12)</f>
        <v>0</v>
      </c>
      <c r="BR73" s="182"/>
      <c r="BS73" s="183">
        <f>(BR73*$E73*$F73*$G73*$M73*$BS$12)</f>
        <v>0</v>
      </c>
      <c r="BT73" s="182">
        <v>1</v>
      </c>
      <c r="BU73" s="182">
        <f t="shared" ref="BU73" si="293">(BT73*$E73*$F73*$G73*$M73*$BU$12)/12*10+(BT73*$E73*$F73*$G73*$M73*$BU$13)/12+(BT73*$E73*$F73*$G73*$M73*$BU$13*$BU$15)/12</f>
        <v>143374.60509915199</v>
      </c>
      <c r="BV73" s="182"/>
      <c r="BW73" s="182">
        <f>(BV73*$E73*$F73*$G73*$M73*$BW$12)</f>
        <v>0</v>
      </c>
      <c r="BX73" s="182"/>
      <c r="BY73" s="183">
        <f>(BX73*$E73*$F73*$G73*$M73*$BY$12)</f>
        <v>0</v>
      </c>
      <c r="BZ73" s="182"/>
      <c r="CA73" s="187">
        <f>(BZ73*$E73*$F73*$G73*$M73*$CA$12)</f>
        <v>0</v>
      </c>
      <c r="CB73" s="182"/>
      <c r="CC73" s="182">
        <f>(CB73*$E73*$F73*$G73*$L73*$CC$12)</f>
        <v>0</v>
      </c>
      <c r="CD73" s="182"/>
      <c r="CE73" s="182">
        <f>(CD73*$E73*$F73*$G73*$L73*$CE$12)</f>
        <v>0</v>
      </c>
      <c r="CF73" s="182"/>
      <c r="CG73" s="182">
        <f>(CF73*$E73*$F73*$G73*$L73*$CG$12)</f>
        <v>0</v>
      </c>
      <c r="CH73" s="182"/>
      <c r="CI73" s="182">
        <f>(CH73*$E73*$F73*$G73*$M73*$CI$12)</f>
        <v>0</v>
      </c>
      <c r="CJ73" s="182"/>
      <c r="CK73" s="182"/>
      <c r="CL73" s="182"/>
      <c r="CM73" s="183">
        <f>(CL73*$E73*$F73*$G73*$L73*$CM$12)</f>
        <v>0</v>
      </c>
      <c r="CN73" s="182"/>
      <c r="CO73" s="183">
        <f>(CN73*$E73*$F73*$G73*$L73*$CO$12)</f>
        <v>0</v>
      </c>
      <c r="CP73" s="182"/>
      <c r="CQ73" s="182">
        <f>(CP73*$E73*$F73*$G73*$L73*$CQ$12)</f>
        <v>0</v>
      </c>
      <c r="CR73" s="182"/>
      <c r="CS73" s="182">
        <f>(CR73*$E73*$F73*$G73*$L73*$CS$12)</f>
        <v>0</v>
      </c>
      <c r="CT73" s="182"/>
      <c r="CU73" s="182">
        <f>(CT73*$E73*$F73*$G73*$L73*$CU$12)</f>
        <v>0</v>
      </c>
      <c r="CV73" s="182">
        <v>2</v>
      </c>
      <c r="CW73" s="182">
        <v>266130.31</v>
      </c>
      <c r="CX73" s="182">
        <v>3</v>
      </c>
      <c r="CY73" s="182">
        <f t="shared" ref="CY73" si="294">(CX73/12*11*$E73*$F73*$G73*$M73*$CY$12)+(CX73/12*$E73*$F73*$G73*$M73*$CY$15*$CY$12)</f>
        <v>416682.91261548002</v>
      </c>
      <c r="CZ73" s="182"/>
      <c r="DA73" s="182">
        <v>0</v>
      </c>
      <c r="DB73" s="188"/>
      <c r="DC73" s="182">
        <f>(DB73*$E73*$F73*$G73*$M73*$DC$12)</f>
        <v>0</v>
      </c>
      <c r="DD73" s="182"/>
      <c r="DE73" s="187">
        <f t="shared" ref="DE73:DE74" si="295">(DD73*$E73*$F73*$G73*$M73*DE$12)</f>
        <v>0</v>
      </c>
      <c r="DF73" s="182"/>
      <c r="DG73" s="182">
        <f>(DF73*$E73*$F73*$G73*$M73*$DG$12)</f>
        <v>0</v>
      </c>
      <c r="DH73" s="189"/>
      <c r="DI73" s="182">
        <f>(DH73*$E73*$F73*$G73*$M73*$BY$12)</f>
        <v>0</v>
      </c>
      <c r="DJ73" s="182"/>
      <c r="DK73" s="182">
        <f>(DJ73*$E73*$F73*$G73*$M73*$DK$12)</f>
        <v>0</v>
      </c>
      <c r="DL73" s="182"/>
      <c r="DM73" s="182">
        <f>(DL73*$E73*$F73*$G73*$N73*$DM$12)</f>
        <v>0</v>
      </c>
      <c r="DN73" s="182"/>
      <c r="DO73" s="190">
        <f>(DN73*$E73*$F73*$G73*$O73*$DO$12)</f>
        <v>0</v>
      </c>
      <c r="DP73" s="187"/>
      <c r="DQ73" s="187"/>
      <c r="DR73" s="183">
        <f t="shared" ref="DR73:DS79" si="296">SUM(P73,R73,T73,V73,AB73,AJ73,AD73,AF73,AH73,AL73,AN73,AP73,AV73,AZ73,BB73,CF73,AR73,BF73,BH73,BJ73,CT73,BL73,BN73,AT73,BR73,AX73,CV73,BT73,CX73,BV73,BX73,BZ73,CH73,CB73,CD73,CJ73,CL73,CN73,CP73,CR73,CZ73,DB73,BP73,BD73,DD73,DF73,DH73,DJ73,DL73,DN73,DP73)</f>
        <v>135</v>
      </c>
      <c r="DS73" s="183">
        <f t="shared" si="296"/>
        <v>18512993.910678629</v>
      </c>
      <c r="DT73" s="182">
        <v>135</v>
      </c>
      <c r="DU73" s="182">
        <v>18274451.086133331</v>
      </c>
      <c r="DV73" s="167">
        <f t="shared" si="5"/>
        <v>0</v>
      </c>
      <c r="DW73" s="167">
        <f t="shared" si="5"/>
        <v>238542.82454529777</v>
      </c>
    </row>
    <row r="74" spans="1:127" ht="15.75" customHeight="1" x14ac:dyDescent="0.25">
      <c r="A74" s="154"/>
      <c r="B74" s="176">
        <v>49</v>
      </c>
      <c r="C74" s="177" t="s">
        <v>242</v>
      </c>
      <c r="D74" s="210" t="s">
        <v>243</v>
      </c>
      <c r="E74" s="158">
        <v>25969</v>
      </c>
      <c r="F74" s="179">
        <v>5.33</v>
      </c>
      <c r="G74" s="168">
        <v>1</v>
      </c>
      <c r="H74" s="169"/>
      <c r="I74" s="169"/>
      <c r="J74" s="169"/>
      <c r="K74" s="106"/>
      <c r="L74" s="180">
        <v>1.4</v>
      </c>
      <c r="M74" s="180">
        <v>1.68</v>
      </c>
      <c r="N74" s="180">
        <v>2.23</v>
      </c>
      <c r="O74" s="181">
        <v>2.57</v>
      </c>
      <c r="P74" s="182"/>
      <c r="Q74" s="182">
        <f>(P74*$E74*$F74*$G74*$L74*$Q$12)</f>
        <v>0</v>
      </c>
      <c r="R74" s="182"/>
      <c r="S74" s="182">
        <f>(R74*$E74*$F74*$G74*$L74*$S$12)</f>
        <v>0</v>
      </c>
      <c r="T74" s="182"/>
      <c r="U74" s="182">
        <f t="shared" si="289"/>
        <v>0</v>
      </c>
      <c r="V74" s="182">
        <v>9</v>
      </c>
      <c r="W74" s="183">
        <f t="shared" si="290"/>
        <v>2217977.9847432477</v>
      </c>
      <c r="X74" s="183"/>
      <c r="Y74" s="183">
        <v>0</v>
      </c>
      <c r="Z74" s="183"/>
      <c r="AA74" s="183">
        <v>0</v>
      </c>
      <c r="AB74" s="182">
        <f t="shared" si="291"/>
        <v>0</v>
      </c>
      <c r="AC74" s="182">
        <f t="shared" si="291"/>
        <v>0</v>
      </c>
      <c r="AD74" s="182"/>
      <c r="AE74" s="182">
        <f>(AD74*$E74*$F74*$G74*$L74*$AE$12)</f>
        <v>0</v>
      </c>
      <c r="AF74" s="182"/>
      <c r="AG74" s="182"/>
      <c r="AH74" s="182"/>
      <c r="AI74" s="182">
        <f>(AH74*$E74*$F74*$G74*$L74*$AI$12)</f>
        <v>0</v>
      </c>
      <c r="AJ74" s="182"/>
      <c r="AK74" s="182"/>
      <c r="AL74" s="182"/>
      <c r="AM74" s="182"/>
      <c r="AN74" s="184"/>
      <c r="AO74" s="182">
        <f>(AN74*$E74*$F74*$G74*$L74*$AO$12)</f>
        <v>0</v>
      </c>
      <c r="AP74" s="182"/>
      <c r="AQ74" s="183">
        <f>(AP74*$E74*$F74*$G74*$L74*$AQ$12)</f>
        <v>0</v>
      </c>
      <c r="AR74" s="182"/>
      <c r="AS74" s="182">
        <f t="shared" si="292"/>
        <v>0</v>
      </c>
      <c r="AT74" s="182"/>
      <c r="AU74" s="182">
        <f>(AT74*$E74*$F74*$G74*$M74*$AU$12)</f>
        <v>0</v>
      </c>
      <c r="AV74" s="188"/>
      <c r="AW74" s="182">
        <f>(AV74*$E74*$F74*$G74*$M74*$AW$12)</f>
        <v>0</v>
      </c>
      <c r="AX74" s="182"/>
      <c r="AY74" s="187">
        <f>(AX74*$E74*$F74*$G74*$M74*$AY$12)</f>
        <v>0</v>
      </c>
      <c r="AZ74" s="182"/>
      <c r="BA74" s="182">
        <f>(AZ74*$E74*$F74*$G74*$L74*$BA$12)</f>
        <v>0</v>
      </c>
      <c r="BB74" s="182"/>
      <c r="BC74" s="182">
        <f>(BB74*$E74*$F74*$G74*$L74*$BC$12)</f>
        <v>0</v>
      </c>
      <c r="BD74" s="182"/>
      <c r="BE74" s="182">
        <f>(BD74*$E74*$F74*$G74*$L74*$BE$12)</f>
        <v>0</v>
      </c>
      <c r="BF74" s="182"/>
      <c r="BG74" s="182">
        <f>(BF74*$E74*$F74*$G74*$L74*$BG$12)</f>
        <v>0</v>
      </c>
      <c r="BH74" s="182"/>
      <c r="BI74" s="183">
        <f>(BH74*$E74*$F74*$G74*$L74*$BI$12)</f>
        <v>0</v>
      </c>
      <c r="BJ74" s="182"/>
      <c r="BK74" s="183">
        <f>(BJ74*$E74*$F74*$G74*$L74*$BK$12)</f>
        <v>0</v>
      </c>
      <c r="BL74" s="182"/>
      <c r="BM74" s="182">
        <f>(BL74*$E74*$F74*$G74*$L74*$BM$12)</f>
        <v>0</v>
      </c>
      <c r="BN74" s="182"/>
      <c r="BO74" s="182">
        <f>(BN74*$E74*$F74*$G74*$M74*$BO$12)</f>
        <v>0</v>
      </c>
      <c r="BP74" s="182"/>
      <c r="BQ74" s="182">
        <f>(BP74*$E74*$F74*$G74*$M74*$BQ$12)</f>
        <v>0</v>
      </c>
      <c r="BR74" s="182"/>
      <c r="BS74" s="183">
        <f>(BR74*$E74*$F74*$G74*$M74*$BS$12)</f>
        <v>0</v>
      </c>
      <c r="BT74" s="182"/>
      <c r="BU74" s="182">
        <f>(BT74*$E74*$F74*$G74*$M74*$BU$12)</f>
        <v>0</v>
      </c>
      <c r="BV74" s="182"/>
      <c r="BW74" s="182">
        <f>(BV74*$E74*$F74*$G74*$M74*$BW$12)</f>
        <v>0</v>
      </c>
      <c r="BX74" s="182"/>
      <c r="BY74" s="183">
        <f>(BX74*$E74*$F74*$G74*$M74*$BY$12)</f>
        <v>0</v>
      </c>
      <c r="BZ74" s="182"/>
      <c r="CA74" s="187">
        <f>(BZ74*$E74*$F74*$G74*$M74*$CA$12)</f>
        <v>0</v>
      </c>
      <c r="CB74" s="182"/>
      <c r="CC74" s="182">
        <f>(CB74*$E74*$F74*$G74*$L74*$CC$12)</f>
        <v>0</v>
      </c>
      <c r="CD74" s="182"/>
      <c r="CE74" s="182">
        <f>(CD74*$E74*$F74*$G74*$L74*$CE$12)</f>
        <v>0</v>
      </c>
      <c r="CF74" s="182"/>
      <c r="CG74" s="182">
        <f>(CF74*$E74*$F74*$G74*$L74*$CG$12)</f>
        <v>0</v>
      </c>
      <c r="CH74" s="182"/>
      <c r="CI74" s="182">
        <f>(CH74*$E74*$F74*$G74*$M74*$CI$12)</f>
        <v>0</v>
      </c>
      <c r="CJ74" s="182"/>
      <c r="CK74" s="182"/>
      <c r="CL74" s="182"/>
      <c r="CM74" s="183">
        <f>(CL74*$E74*$F74*$G74*$L74*$CM$12)</f>
        <v>0</v>
      </c>
      <c r="CN74" s="182"/>
      <c r="CO74" s="183">
        <f>(CN74*$E74*$F74*$G74*$L74*$CO$12)</f>
        <v>0</v>
      </c>
      <c r="CP74" s="182"/>
      <c r="CQ74" s="182">
        <f>(CP74*$E74*$F74*$G74*$L74*$CQ$12)</f>
        <v>0</v>
      </c>
      <c r="CR74" s="182"/>
      <c r="CS74" s="182">
        <f>(CR74*$E74*$F74*$G74*$L74*$CS$12)</f>
        <v>0</v>
      </c>
      <c r="CT74" s="182"/>
      <c r="CU74" s="182">
        <f>(CT74*$E74*$F74*$G74*$L74*$CU$12)</f>
        <v>0</v>
      </c>
      <c r="CV74" s="182"/>
      <c r="CW74" s="182">
        <v>0</v>
      </c>
      <c r="CX74" s="182"/>
      <c r="CY74" s="182">
        <f>(CX74*$E74*$F74*$G74*$M74*$CY$12)</f>
        <v>0</v>
      </c>
      <c r="CZ74" s="182"/>
      <c r="DA74" s="182">
        <v>0</v>
      </c>
      <c r="DB74" s="188"/>
      <c r="DC74" s="182">
        <f>(DB74*$E74*$F74*$G74*$M74*$DC$12)</f>
        <v>0</v>
      </c>
      <c r="DD74" s="182"/>
      <c r="DE74" s="187">
        <f t="shared" si="295"/>
        <v>0</v>
      </c>
      <c r="DF74" s="182"/>
      <c r="DG74" s="182">
        <f>(DF74*$E74*$F74*$G74*$M74*$DG$12)</f>
        <v>0</v>
      </c>
      <c r="DH74" s="189"/>
      <c r="DI74" s="182">
        <f>(DH74*$E74*$F74*$G74*$M74*$BY$12)</f>
        <v>0</v>
      </c>
      <c r="DJ74" s="182"/>
      <c r="DK74" s="182">
        <f>(DJ74*$E74*$F74*$G74*$M74*$DK$12)</f>
        <v>0</v>
      </c>
      <c r="DL74" s="182"/>
      <c r="DM74" s="182">
        <f>(DL74*$E74*$F74*$G74*$N74*$DM$12)</f>
        <v>0</v>
      </c>
      <c r="DN74" s="182"/>
      <c r="DO74" s="190">
        <f>(DN74*$E74*$F74*$G74*$O74*$DO$12)</f>
        <v>0</v>
      </c>
      <c r="DP74" s="187"/>
      <c r="DQ74" s="187"/>
      <c r="DR74" s="183">
        <f t="shared" si="296"/>
        <v>9</v>
      </c>
      <c r="DS74" s="183">
        <f t="shared" si="296"/>
        <v>2217977.9847432477</v>
      </c>
      <c r="DT74" s="182">
        <v>9</v>
      </c>
      <c r="DU74" s="182">
        <v>2209099.7291999999</v>
      </c>
      <c r="DV74" s="167">
        <f t="shared" si="5"/>
        <v>0</v>
      </c>
      <c r="DW74" s="167">
        <f t="shared" si="5"/>
        <v>8878.2555432477966</v>
      </c>
    </row>
    <row r="75" spans="1:127" ht="15.75" customHeight="1" x14ac:dyDescent="0.25">
      <c r="A75" s="154"/>
      <c r="B75" s="176">
        <v>50</v>
      </c>
      <c r="C75" s="177" t="s">
        <v>244</v>
      </c>
      <c r="D75" s="210" t="s">
        <v>245</v>
      </c>
      <c r="E75" s="158">
        <v>25969</v>
      </c>
      <c r="F75" s="179">
        <v>0.77</v>
      </c>
      <c r="G75" s="168">
        <v>1</v>
      </c>
      <c r="H75" s="169"/>
      <c r="I75" s="169"/>
      <c r="J75" s="169"/>
      <c r="K75" s="106"/>
      <c r="L75" s="180">
        <v>1.4</v>
      </c>
      <c r="M75" s="180">
        <v>1.68</v>
      </c>
      <c r="N75" s="180">
        <v>2.23</v>
      </c>
      <c r="O75" s="181">
        <v>2.57</v>
      </c>
      <c r="P75" s="182"/>
      <c r="Q75" s="182">
        <f>(P75*$E75*$F75*$G75*$L75)</f>
        <v>0</v>
      </c>
      <c r="R75" s="182"/>
      <c r="S75" s="187">
        <f>(R75*$E75*$F75*$G75*$L75)</f>
        <v>0</v>
      </c>
      <c r="T75" s="182">
        <v>241</v>
      </c>
      <c r="U75" s="182">
        <f>(T75*$E75*$F75*$G75*$L75)</f>
        <v>6746694.2620000001</v>
      </c>
      <c r="V75" s="182"/>
      <c r="W75" s="182">
        <f>(V75*$E75*$F75*$G75*$L75)</f>
        <v>0</v>
      </c>
      <c r="X75" s="182"/>
      <c r="Y75" s="182">
        <v>0</v>
      </c>
      <c r="Z75" s="182"/>
      <c r="AA75" s="182">
        <v>0</v>
      </c>
      <c r="AB75" s="182">
        <f t="shared" si="291"/>
        <v>0</v>
      </c>
      <c r="AC75" s="182">
        <f t="shared" si="291"/>
        <v>0</v>
      </c>
      <c r="AD75" s="182"/>
      <c r="AE75" s="182">
        <f>(AD75*$E75*$F75*$G75*$L75)</f>
        <v>0</v>
      </c>
      <c r="AF75" s="182"/>
      <c r="AG75" s="182"/>
      <c r="AH75" s="182"/>
      <c r="AI75" s="182">
        <f>(AH75*$E75*$F75*$G75*$L75)</f>
        <v>0</v>
      </c>
      <c r="AJ75" s="182"/>
      <c r="AK75" s="182"/>
      <c r="AL75" s="182"/>
      <c r="AM75" s="182"/>
      <c r="AN75" s="184"/>
      <c r="AO75" s="182">
        <f>(AN75*$E75*$F75*$G75*$L75)</f>
        <v>0</v>
      </c>
      <c r="AP75" s="182"/>
      <c r="AQ75" s="182">
        <f>(AP75*$E75*$F75*$G75*$L75)</f>
        <v>0</v>
      </c>
      <c r="AR75" s="182"/>
      <c r="AS75" s="182">
        <f>(AR75*$E75*$F75*$G75*$L75)</f>
        <v>0</v>
      </c>
      <c r="AT75" s="182">
        <v>109</v>
      </c>
      <c r="AU75" s="183">
        <f>(AT75*$E75*$F75*$G75*$M75)</f>
        <v>3661691.3255999996</v>
      </c>
      <c r="AV75" s="188"/>
      <c r="AW75" s="182">
        <f>(AV75*$E75*$F75*$G75*$M75)</f>
        <v>0</v>
      </c>
      <c r="AX75" s="182"/>
      <c r="AY75" s="187">
        <f>(AX75*$E75*$F75*$G75*$M75)</f>
        <v>0</v>
      </c>
      <c r="AZ75" s="209"/>
      <c r="BA75" s="182">
        <f>(AZ75*$E75*$F75*$G75*$L75*$AO$12)</f>
        <v>0</v>
      </c>
      <c r="BB75" s="182"/>
      <c r="BC75" s="182">
        <f>(BB75*$E75*$F75*$G75*$L75*BC$12)</f>
        <v>0</v>
      </c>
      <c r="BD75" s="182"/>
      <c r="BE75" s="182">
        <f>(BD75*$E75*$F75*$G75*$L75*BE$12)</f>
        <v>0</v>
      </c>
      <c r="BF75" s="182"/>
      <c r="BG75" s="182">
        <f>(BF75*$E75*$F75*$G75*$L75)</f>
        <v>0</v>
      </c>
      <c r="BH75" s="182"/>
      <c r="BI75" s="182">
        <f t="shared" ref="BI75" si="297">(BH75*$E75*$F75*$G75*$L75)</f>
        <v>0</v>
      </c>
      <c r="BJ75" s="182"/>
      <c r="BK75" s="182"/>
      <c r="BL75" s="182">
        <v>25</v>
      </c>
      <c r="BM75" s="182">
        <f>(BL75*$E75*$F75*$G75*$L75)</f>
        <v>699864.54999999993</v>
      </c>
      <c r="BN75" s="182"/>
      <c r="BO75" s="182">
        <f>(BN75*$E75*$F75*$G75*$M75)</f>
        <v>0</v>
      </c>
      <c r="BP75" s="182"/>
      <c r="BQ75" s="182">
        <f>(BP75*$E75*$F75*$G75*$M75)</f>
        <v>0</v>
      </c>
      <c r="BR75" s="182"/>
      <c r="BS75" s="182">
        <f>(BR75*$E75*$F75*$G75*$M75)</f>
        <v>0</v>
      </c>
      <c r="BT75" s="182">
        <v>20</v>
      </c>
      <c r="BU75" s="182">
        <f>(BT75*$E75*$F75*$G75*$M75)</f>
        <v>671869.96799999999</v>
      </c>
      <c r="BV75" s="182"/>
      <c r="BW75" s="182">
        <f>(BV75*$E75*$F75*$G75*$M75)</f>
        <v>0</v>
      </c>
      <c r="BX75" s="182">
        <v>8</v>
      </c>
      <c r="BY75" s="182">
        <f>(BX75*$E75*$F75*$G75*$M75)</f>
        <v>268747.98720000003</v>
      </c>
      <c r="BZ75" s="182">
        <v>15</v>
      </c>
      <c r="CA75" s="187">
        <f>(BZ75*$E75*$F75*$G75*$M75)</f>
        <v>503902.47600000002</v>
      </c>
      <c r="CB75" s="182"/>
      <c r="CC75" s="182">
        <f>(CB75*$E75*$F75*$G75*$L75)</f>
        <v>0</v>
      </c>
      <c r="CD75" s="182"/>
      <c r="CE75" s="183">
        <f>(CD75*$E75*$F75*$G75*$L75)</f>
        <v>0</v>
      </c>
      <c r="CF75" s="182"/>
      <c r="CG75" s="182">
        <f>(CF75*$E75*$F75*$G75*$L75)</f>
        <v>0</v>
      </c>
      <c r="CH75" s="182">
        <v>5</v>
      </c>
      <c r="CI75" s="182">
        <f>(CH75*$E75*$F75*$G75*$M75)</f>
        <v>167967.492</v>
      </c>
      <c r="CJ75" s="182"/>
      <c r="CK75" s="182"/>
      <c r="CL75" s="182"/>
      <c r="CM75" s="182">
        <f>(CL75*$E75*$F75*$G75*$L75)</f>
        <v>0</v>
      </c>
      <c r="CN75" s="182"/>
      <c r="CO75" s="182">
        <f>(CN75*$E75*$F75*$G75*$L75)</f>
        <v>0</v>
      </c>
      <c r="CP75" s="182">
        <v>18</v>
      </c>
      <c r="CQ75" s="182">
        <f>(CP75*$E75*$F75*$G75*$L75)</f>
        <v>503902.47600000002</v>
      </c>
      <c r="CR75" s="182">
        <v>4</v>
      </c>
      <c r="CS75" s="182">
        <f>(CR75*$E75*$F75*$G75*$L75)</f>
        <v>111978.32799999999</v>
      </c>
      <c r="CT75" s="182">
        <v>9</v>
      </c>
      <c r="CU75" s="182">
        <f>(CT75*$E75*$F75*$G75*$L75)</f>
        <v>251951.23800000001</v>
      </c>
      <c r="CV75" s="182">
        <v>35</v>
      </c>
      <c r="CW75" s="182">
        <v>1193223.6600000001</v>
      </c>
      <c r="CX75" s="182">
        <v>12</v>
      </c>
      <c r="CY75" s="182">
        <f>(CX75*$E75*$F75*$G75*$M75)</f>
        <v>403121.98079999996</v>
      </c>
      <c r="CZ75" s="182"/>
      <c r="DA75" s="182">
        <v>0</v>
      </c>
      <c r="DB75" s="188"/>
      <c r="DC75" s="182">
        <f>(DB75*$E75*$F75*$G75*$M75)</f>
        <v>0</v>
      </c>
      <c r="DD75" s="182"/>
      <c r="DE75" s="187">
        <f>(DD75*$E75*$F75*$G75*$M75)</f>
        <v>0</v>
      </c>
      <c r="DF75" s="182"/>
      <c r="DG75" s="182"/>
      <c r="DH75" s="189"/>
      <c r="DI75" s="182">
        <f>(DH75*$E75*$F75*$G75*$M75)</f>
        <v>0</v>
      </c>
      <c r="DJ75" s="182">
        <v>10</v>
      </c>
      <c r="DK75" s="182">
        <f>(DJ75*$E75*$F75*$G75*$M75)</f>
        <v>335934.984</v>
      </c>
      <c r="DL75" s="182"/>
      <c r="DM75" s="182">
        <f>(DL75*$E75*$F75*$G75*$N75)</f>
        <v>0</v>
      </c>
      <c r="DN75" s="182"/>
      <c r="DO75" s="187">
        <f>(DN75*$E75*$F75*$G75*$O75)</f>
        <v>0</v>
      </c>
      <c r="DP75" s="187"/>
      <c r="DQ75" s="187"/>
      <c r="DR75" s="183">
        <f t="shared" si="296"/>
        <v>511</v>
      </c>
      <c r="DS75" s="183">
        <f t="shared" si="296"/>
        <v>15520850.727599997</v>
      </c>
      <c r="DT75" s="182">
        <v>511</v>
      </c>
      <c r="DU75" s="182">
        <v>15520850.727599997</v>
      </c>
      <c r="DV75" s="167">
        <f t="shared" si="5"/>
        <v>0</v>
      </c>
      <c r="DW75" s="167">
        <f t="shared" si="5"/>
        <v>0</v>
      </c>
    </row>
    <row r="76" spans="1:127" ht="15.75" customHeight="1" x14ac:dyDescent="0.25">
      <c r="A76" s="154"/>
      <c r="B76" s="176">
        <v>51</v>
      </c>
      <c r="C76" s="177" t="s">
        <v>246</v>
      </c>
      <c r="D76" s="210" t="s">
        <v>247</v>
      </c>
      <c r="E76" s="158">
        <v>25969</v>
      </c>
      <c r="F76" s="179">
        <v>0.97</v>
      </c>
      <c r="G76" s="168">
        <v>1</v>
      </c>
      <c r="H76" s="169"/>
      <c r="I76" s="169"/>
      <c r="J76" s="169"/>
      <c r="K76" s="106"/>
      <c r="L76" s="180">
        <v>1.4</v>
      </c>
      <c r="M76" s="180">
        <v>1.68</v>
      </c>
      <c r="N76" s="180">
        <v>2.23</v>
      </c>
      <c r="O76" s="181">
        <v>2.57</v>
      </c>
      <c r="P76" s="182"/>
      <c r="Q76" s="182">
        <f>(P76*$E76*$F76*$G76*$L76*$Q$12)</f>
        <v>0</v>
      </c>
      <c r="R76" s="182"/>
      <c r="S76" s="182">
        <f>(R76*$E76*$F76*$G76*$L76*$S$12)</f>
        <v>0</v>
      </c>
      <c r="T76" s="182">
        <v>20</v>
      </c>
      <c r="U76" s="182">
        <f t="shared" ref="U76" si="298">(T76/12*11*$E76*$F76*$G76*$L76*$U$12)+(T76/12*1*$E76*$F76*$G76*$L76*$U$14)</f>
        <v>890464.02549999999</v>
      </c>
      <c r="V76" s="182"/>
      <c r="W76" s="183">
        <f>(V76*$E76*$F76*$G76*$L76*$W$12)/12*10+(V76*$E76*$F76*$G76*$L76*$W$13)/12*1++(V76*$E76*$F76*$G76*$L76*$W$14)/12*1</f>
        <v>0</v>
      </c>
      <c r="X76" s="183"/>
      <c r="Y76" s="183">
        <v>0</v>
      </c>
      <c r="Z76" s="183"/>
      <c r="AA76" s="183">
        <v>0</v>
      </c>
      <c r="AB76" s="182">
        <f t="shared" si="291"/>
        <v>0</v>
      </c>
      <c r="AC76" s="182">
        <f t="shared" si="291"/>
        <v>0</v>
      </c>
      <c r="AD76" s="182"/>
      <c r="AE76" s="182">
        <f>(AD76*$E76*$F76*$G76*$L76*$AE$12)</f>
        <v>0</v>
      </c>
      <c r="AF76" s="182"/>
      <c r="AG76" s="182"/>
      <c r="AH76" s="182"/>
      <c r="AI76" s="182">
        <f>(AH76*$E76*$F76*$G76*$L76*$AI$12)</f>
        <v>0</v>
      </c>
      <c r="AJ76" s="182"/>
      <c r="AK76" s="182"/>
      <c r="AL76" s="182"/>
      <c r="AM76" s="182"/>
      <c r="AN76" s="184"/>
      <c r="AO76" s="182">
        <f>(AN76*$E76*$F76*$G76*$L76*$AO$12)</f>
        <v>0</v>
      </c>
      <c r="AP76" s="182"/>
      <c r="AQ76" s="183">
        <f>(AP76*$E76*$F76*$G76*$L76*$AQ$12)</f>
        <v>0</v>
      </c>
      <c r="AR76" s="182"/>
      <c r="AS76" s="182">
        <f>(AR76*$E76*$F76*$G76*$L76*$AS$12)/12*10+(AR76*$E76*$F76*$G76*$L76*$AS$13)/12*1+(AR76*$E76*$F76*$G76*$L76*$AS$14)/12*1</f>
        <v>0</v>
      </c>
      <c r="AT76" s="182"/>
      <c r="AU76" s="182">
        <f>(AT76*$E76*$F76*$G76*$M76*$AU$12)</f>
        <v>0</v>
      </c>
      <c r="AV76" s="188"/>
      <c r="AW76" s="182">
        <f>(AV76*$E76*$F76*$G76*$M76*$AW$12)</f>
        <v>0</v>
      </c>
      <c r="AX76" s="182"/>
      <c r="AY76" s="187">
        <f>(AX76*$E76*$F76*$G76*$M76*$AY$12)</f>
        <v>0</v>
      </c>
      <c r="AZ76" s="182"/>
      <c r="BA76" s="182">
        <f>(AZ76*$E76*$F76*$G76*$L76*$BA$12)</f>
        <v>0</v>
      </c>
      <c r="BB76" s="182"/>
      <c r="BC76" s="182">
        <f>(BB76*$E76*$F76*$G76*$L76*$BC$12)</f>
        <v>0</v>
      </c>
      <c r="BD76" s="182"/>
      <c r="BE76" s="182">
        <f>(BD76*$E76*$F76*$G76*$L76*$BE$12)</f>
        <v>0</v>
      </c>
      <c r="BF76" s="182"/>
      <c r="BG76" s="182">
        <f>(BF76*$E76*$F76*$G76*$L76*$BG$12)</f>
        <v>0</v>
      </c>
      <c r="BH76" s="182"/>
      <c r="BI76" s="183">
        <f>(BH76*$E76*$F76*$G76*$L76*$BI$12)</f>
        <v>0</v>
      </c>
      <c r="BJ76" s="182"/>
      <c r="BK76" s="183">
        <f>(BJ76*$E76*$F76*$G76*$L76*$BK$12)</f>
        <v>0</v>
      </c>
      <c r="BL76" s="182"/>
      <c r="BM76" s="182">
        <f>(BL76*$E76*$F76*$G76*$L76*$BM$12)</f>
        <v>0</v>
      </c>
      <c r="BN76" s="182"/>
      <c r="BO76" s="182">
        <f>(BN76*$E76*$F76*$G76*$M76*$BO$12)</f>
        <v>0</v>
      </c>
      <c r="BP76" s="182"/>
      <c r="BQ76" s="182">
        <f>(BP76*$E76*$F76*$G76*$M76*$BQ$12)</f>
        <v>0</v>
      </c>
      <c r="BR76" s="182"/>
      <c r="BS76" s="183">
        <f>(BR76*$E76*$F76*$G76*$M76*$BS$12)</f>
        <v>0</v>
      </c>
      <c r="BT76" s="182"/>
      <c r="BU76" s="182">
        <f>(BT76*$E76*$F76*$G76*$M76*$BU$12)</f>
        <v>0</v>
      </c>
      <c r="BV76" s="182"/>
      <c r="BW76" s="182">
        <f>(BV76*$E76*$F76*$G76*$M76*$BW$12)</f>
        <v>0</v>
      </c>
      <c r="BX76" s="182"/>
      <c r="BY76" s="183">
        <f>(BX76*$E76*$F76*$G76*$M76*$BY$12)</f>
        <v>0</v>
      </c>
      <c r="BZ76" s="182"/>
      <c r="CA76" s="187">
        <f>(BZ76*$E76*$F76*$G76*$M76*$CA$12)</f>
        <v>0</v>
      </c>
      <c r="CB76" s="182"/>
      <c r="CC76" s="182">
        <f>(CB76*$E76*$F76*$G76*$L76*$CC$12)</f>
        <v>0</v>
      </c>
      <c r="CD76" s="182"/>
      <c r="CE76" s="182">
        <f>(CD76*$E76*$F76*$G76*$L76*$CE$12)</f>
        <v>0</v>
      </c>
      <c r="CF76" s="182"/>
      <c r="CG76" s="182">
        <f>(CF76*$E76*$F76*$G76*$L76*$CG$12)</f>
        <v>0</v>
      </c>
      <c r="CH76" s="182"/>
      <c r="CI76" s="182">
        <f>(CH76*$E76*$F76*$G76*$M76*$CI$12)</f>
        <v>0</v>
      </c>
      <c r="CJ76" s="182"/>
      <c r="CK76" s="182"/>
      <c r="CL76" s="182"/>
      <c r="CM76" s="183">
        <f>(CL76*$E76*$F76*$G76*$L76*$CM$12)</f>
        <v>0</v>
      </c>
      <c r="CN76" s="182"/>
      <c r="CO76" s="183">
        <f>(CN76*$E76*$F76*$G76*$L76*$CO$12)</f>
        <v>0</v>
      </c>
      <c r="CP76" s="182"/>
      <c r="CQ76" s="182">
        <f>(CP76*$E76*$F76*$G76*$L76*$CQ$12)</f>
        <v>0</v>
      </c>
      <c r="CR76" s="182"/>
      <c r="CS76" s="182">
        <f>(CR76*$E76*$F76*$G76*$L76*$CS$12)</f>
        <v>0</v>
      </c>
      <c r="CT76" s="182"/>
      <c r="CU76" s="182">
        <f>(CT76*$E76*$F76*$G76*$L76*$CU$12)</f>
        <v>0</v>
      </c>
      <c r="CV76" s="182"/>
      <c r="CW76" s="182">
        <v>0</v>
      </c>
      <c r="CX76" s="182"/>
      <c r="CY76" s="182">
        <f>(CX76*$E76*$F76*$G76*$M76*$CY$12)</f>
        <v>0</v>
      </c>
      <c r="CZ76" s="182"/>
      <c r="DA76" s="182">
        <v>0</v>
      </c>
      <c r="DB76" s="188"/>
      <c r="DC76" s="182">
        <f>(DB76*$E76*$F76*$G76*$M76*$DC$12)</f>
        <v>0</v>
      </c>
      <c r="DD76" s="182"/>
      <c r="DE76" s="187">
        <f>(DD76*$E76*$F76*$G76*$M76*DE$12)</f>
        <v>0</v>
      </c>
      <c r="DF76" s="182"/>
      <c r="DG76" s="182">
        <f>(DF76*$E76*$F76*$G76*$M76*$DG$12)</f>
        <v>0</v>
      </c>
      <c r="DH76" s="189"/>
      <c r="DI76" s="182">
        <f>(DH76*$E76*$F76*$G76*$M76*$BY$12)</f>
        <v>0</v>
      </c>
      <c r="DJ76" s="182"/>
      <c r="DK76" s="182">
        <f>(DJ76*$E76*$F76*$G76*$M76*$DK$12)</f>
        <v>0</v>
      </c>
      <c r="DL76" s="182"/>
      <c r="DM76" s="182">
        <f>(DL76*$E76*$F76*$G76*$N76*$DM$12)</f>
        <v>0</v>
      </c>
      <c r="DN76" s="182"/>
      <c r="DO76" s="190">
        <f>(DN76*$E76*$F76*$G76*$O76*$DO$12)</f>
        <v>0</v>
      </c>
      <c r="DP76" s="187"/>
      <c r="DQ76" s="187"/>
      <c r="DR76" s="183">
        <f t="shared" si="296"/>
        <v>20</v>
      </c>
      <c r="DS76" s="183">
        <f t="shared" si="296"/>
        <v>890464.02549999999</v>
      </c>
      <c r="DT76" s="182">
        <v>20</v>
      </c>
      <c r="DU76" s="182">
        <v>881647.54999999993</v>
      </c>
      <c r="DV76" s="167">
        <f t="shared" si="5"/>
        <v>0</v>
      </c>
      <c r="DW76" s="167">
        <f t="shared" si="5"/>
        <v>8816.4755000000587</v>
      </c>
    </row>
    <row r="77" spans="1:127" ht="15.75" customHeight="1" x14ac:dyDescent="0.25">
      <c r="A77" s="154"/>
      <c r="B77" s="176">
        <v>52</v>
      </c>
      <c r="C77" s="177" t="s">
        <v>248</v>
      </c>
      <c r="D77" s="210" t="s">
        <v>249</v>
      </c>
      <c r="E77" s="158">
        <v>25969</v>
      </c>
      <c r="F77" s="179">
        <v>0.88</v>
      </c>
      <c r="G77" s="168">
        <v>1</v>
      </c>
      <c r="H77" s="169"/>
      <c r="I77" s="169"/>
      <c r="J77" s="169"/>
      <c r="K77" s="106"/>
      <c r="L77" s="180">
        <v>1.4</v>
      </c>
      <c r="M77" s="180">
        <v>1.68</v>
      </c>
      <c r="N77" s="180">
        <v>2.23</v>
      </c>
      <c r="O77" s="181">
        <v>2.57</v>
      </c>
      <c r="P77" s="182"/>
      <c r="Q77" s="182">
        <f>(P77*$E77*$F77*$G77*$L77)</f>
        <v>0</v>
      </c>
      <c r="R77" s="182"/>
      <c r="S77" s="187">
        <f>(R77*$E77*$F77*$G77*$L77)</f>
        <v>0</v>
      </c>
      <c r="T77" s="182">
        <v>200</v>
      </c>
      <c r="U77" s="182">
        <f>(T77*$E77*$F77*$G77*$L77)</f>
        <v>6398761.5999999996</v>
      </c>
      <c r="V77" s="182"/>
      <c r="W77" s="182">
        <f>(V77*$E77*$F77*$G77*$L77)</f>
        <v>0</v>
      </c>
      <c r="X77" s="182"/>
      <c r="Y77" s="182">
        <v>0</v>
      </c>
      <c r="Z77" s="182"/>
      <c r="AA77" s="182">
        <v>0</v>
      </c>
      <c r="AB77" s="182">
        <f t="shared" si="291"/>
        <v>0</v>
      </c>
      <c r="AC77" s="182">
        <f t="shared" si="291"/>
        <v>0</v>
      </c>
      <c r="AD77" s="182"/>
      <c r="AE77" s="182">
        <f>(AD77*$E77*$F77*$G77*$L77)</f>
        <v>0</v>
      </c>
      <c r="AF77" s="182"/>
      <c r="AG77" s="182"/>
      <c r="AH77" s="182"/>
      <c r="AI77" s="182">
        <f>(AH77*$E77*$F77*$G77*$L77)</f>
        <v>0</v>
      </c>
      <c r="AJ77" s="182"/>
      <c r="AK77" s="182"/>
      <c r="AL77" s="182"/>
      <c r="AM77" s="182"/>
      <c r="AN77" s="184"/>
      <c r="AO77" s="182">
        <f>(AN77*$E77*$F77*$G77*$L77)</f>
        <v>0</v>
      </c>
      <c r="AP77" s="182"/>
      <c r="AQ77" s="182">
        <f>(AP77*$E77*$F77*$G77*$L77)</f>
        <v>0</v>
      </c>
      <c r="AR77" s="182"/>
      <c r="AS77" s="182">
        <f>(AR77*$E77*$F77*$G77*$L77)</f>
        <v>0</v>
      </c>
      <c r="AT77" s="182">
        <v>100</v>
      </c>
      <c r="AU77" s="183">
        <f>(AT77*$E77*$F77*$G77*$M77)</f>
        <v>3839256.96</v>
      </c>
      <c r="AV77" s="188"/>
      <c r="AW77" s="182">
        <f>(AV77*$E77*$F77*$G77*$M77)</f>
        <v>0</v>
      </c>
      <c r="AX77" s="182"/>
      <c r="AY77" s="187">
        <f>(AX77*$E77*$F77*$G77*$M77)</f>
        <v>0</v>
      </c>
      <c r="AZ77" s="209"/>
      <c r="BA77" s="182">
        <f>(AZ77*$E77*$F77*$G77*$L77*$AO$12)</f>
        <v>0</v>
      </c>
      <c r="BB77" s="182"/>
      <c r="BC77" s="182">
        <f>(BB77*$E77*$F77*$G77*$L77*BC$12)</f>
        <v>0</v>
      </c>
      <c r="BD77" s="182"/>
      <c r="BE77" s="182">
        <f>(BD77*$E77*$F77*$G77*$L77*BE$12)</f>
        <v>0</v>
      </c>
      <c r="BF77" s="182"/>
      <c r="BG77" s="182">
        <f>(BF77*$E77*$F77*$G77*$L77)</f>
        <v>0</v>
      </c>
      <c r="BH77" s="182"/>
      <c r="BI77" s="182">
        <f t="shared" ref="BI77" si="299">(BH77*$E77*$F77*$G77*$L77)</f>
        <v>0</v>
      </c>
      <c r="BJ77" s="182"/>
      <c r="BK77" s="182"/>
      <c r="BL77" s="182"/>
      <c r="BM77" s="182">
        <f>(BL77*$E77*$F77*$G77*$L77)</f>
        <v>0</v>
      </c>
      <c r="BN77" s="182">
        <v>3</v>
      </c>
      <c r="BO77" s="182">
        <f>(BN77*$E77*$F77*$G77*$M77)</f>
        <v>115177.70880000001</v>
      </c>
      <c r="BP77" s="182"/>
      <c r="BQ77" s="182">
        <f>(BP77*$E77*$F77*$G77*$M77)</f>
        <v>0</v>
      </c>
      <c r="BR77" s="182"/>
      <c r="BS77" s="182">
        <f>(BR77*$E77*$F77*$G77*$M77)</f>
        <v>0</v>
      </c>
      <c r="BT77" s="182">
        <v>1</v>
      </c>
      <c r="BU77" s="182">
        <f>(BT77*$E77*$F77*$G77*$M77)</f>
        <v>38392.569600000003</v>
      </c>
      <c r="BV77" s="182"/>
      <c r="BW77" s="182">
        <f>(BV77*$E77*$F77*$G77*$M77)</f>
        <v>0</v>
      </c>
      <c r="BX77" s="182">
        <v>4</v>
      </c>
      <c r="BY77" s="182">
        <f>(BX77*$E77*$F77*$G77*$M77)</f>
        <v>153570.27840000001</v>
      </c>
      <c r="BZ77" s="182">
        <v>2</v>
      </c>
      <c r="CA77" s="187">
        <f>(BZ77*$E77*$F77*$G77*$M77)</f>
        <v>76785.139200000005</v>
      </c>
      <c r="CB77" s="182"/>
      <c r="CC77" s="182">
        <f>(CB77*$E77*$F77*$G77*$L77)</f>
        <v>0</v>
      </c>
      <c r="CD77" s="182"/>
      <c r="CE77" s="183">
        <f>(CD77*$E77*$F77*$G77*$L77)</f>
        <v>0</v>
      </c>
      <c r="CF77" s="182"/>
      <c r="CG77" s="182">
        <f>(CF77*$E77*$F77*$G77*$L77)</f>
        <v>0</v>
      </c>
      <c r="CH77" s="182">
        <v>1</v>
      </c>
      <c r="CI77" s="182">
        <f>(CH77*$E77*$F77*$G77*$M77)</f>
        <v>38392.569600000003</v>
      </c>
      <c r="CJ77" s="182"/>
      <c r="CK77" s="182"/>
      <c r="CL77" s="182"/>
      <c r="CM77" s="182">
        <f>(CL77*$E77*$F77*$G77*$L77)</f>
        <v>0</v>
      </c>
      <c r="CN77" s="182"/>
      <c r="CO77" s="182">
        <f>(CN77*$E77*$F77*$G77*$L77)</f>
        <v>0</v>
      </c>
      <c r="CP77" s="182">
        <v>10</v>
      </c>
      <c r="CQ77" s="182">
        <f>(CP77*$E77*$F77*$G77*$L77)</f>
        <v>319938.08</v>
      </c>
      <c r="CR77" s="182">
        <v>1</v>
      </c>
      <c r="CS77" s="182">
        <f>(CR77*$E77*$F77*$G77*$L77)</f>
        <v>31993.808000000001</v>
      </c>
      <c r="CT77" s="182"/>
      <c r="CU77" s="182">
        <f>(CT77*$E77*$F77*$G77*$L77)</f>
        <v>0</v>
      </c>
      <c r="CV77" s="182">
        <v>8</v>
      </c>
      <c r="CW77" s="182">
        <v>324591.72000000003</v>
      </c>
      <c r="CX77" s="182">
        <v>3</v>
      </c>
      <c r="CY77" s="182">
        <f>(CX77*$E77*$F77*$G77*$M77)</f>
        <v>115177.70880000001</v>
      </c>
      <c r="CZ77" s="182"/>
      <c r="DA77" s="182">
        <v>0</v>
      </c>
      <c r="DB77" s="188"/>
      <c r="DC77" s="182">
        <f>(DB77*$E77*$F77*$G77*$M77)</f>
        <v>0</v>
      </c>
      <c r="DD77" s="182"/>
      <c r="DE77" s="187">
        <f>(DD77*$E77*$F77*$G77*$M77)</f>
        <v>0</v>
      </c>
      <c r="DF77" s="182"/>
      <c r="DG77" s="182"/>
      <c r="DH77" s="189"/>
      <c r="DI77" s="182">
        <f>(DH77*$E77*$F77*$G77*$M77)</f>
        <v>0</v>
      </c>
      <c r="DJ77" s="182">
        <v>2</v>
      </c>
      <c r="DK77" s="182">
        <f>(DJ77*$E77*$F77*$G77*$M77)</f>
        <v>76785.139200000005</v>
      </c>
      <c r="DL77" s="182"/>
      <c r="DM77" s="182">
        <f>(DL77*$E77*$F77*$G77*$N77)</f>
        <v>0</v>
      </c>
      <c r="DN77" s="182"/>
      <c r="DO77" s="187">
        <f>(DN77*$E77*$F77*$G77*$O77)</f>
        <v>0</v>
      </c>
      <c r="DP77" s="187"/>
      <c r="DQ77" s="187"/>
      <c r="DR77" s="183">
        <f t="shared" si="296"/>
        <v>335</v>
      </c>
      <c r="DS77" s="183">
        <f t="shared" si="296"/>
        <v>11528823.281599998</v>
      </c>
      <c r="DT77" s="182">
        <v>335</v>
      </c>
      <c r="DU77" s="182">
        <v>11528823.281599998</v>
      </c>
      <c r="DV77" s="167">
        <f t="shared" si="5"/>
        <v>0</v>
      </c>
      <c r="DW77" s="167">
        <f t="shared" si="5"/>
        <v>0</v>
      </c>
    </row>
    <row r="78" spans="1:127" ht="15.75" customHeight="1" x14ac:dyDescent="0.25">
      <c r="A78" s="154"/>
      <c r="B78" s="176">
        <v>53</v>
      </c>
      <c r="C78" s="177" t="s">
        <v>250</v>
      </c>
      <c r="D78" s="210" t="s">
        <v>251</v>
      </c>
      <c r="E78" s="158">
        <v>25969</v>
      </c>
      <c r="F78" s="179">
        <v>1.05</v>
      </c>
      <c r="G78" s="168">
        <v>1</v>
      </c>
      <c r="H78" s="169"/>
      <c r="I78" s="169"/>
      <c r="J78" s="169"/>
      <c r="K78" s="106"/>
      <c r="L78" s="180">
        <v>1.4</v>
      </c>
      <c r="M78" s="180">
        <v>1.68</v>
      </c>
      <c r="N78" s="180">
        <v>2.23</v>
      </c>
      <c r="O78" s="181">
        <v>2.57</v>
      </c>
      <c r="P78" s="182"/>
      <c r="Q78" s="182">
        <f>(P78*$E78*$F78*$G78*$L78*$Q$12)</f>
        <v>0</v>
      </c>
      <c r="R78" s="182"/>
      <c r="S78" s="182">
        <f>(R78*$E78*$F78*$G78*$L78*$S$12)</f>
        <v>0</v>
      </c>
      <c r="T78" s="182">
        <v>10</v>
      </c>
      <c r="U78" s="182">
        <f t="shared" ref="U78:U79" si="300">(T78/12*11*$E78*$F78*$G78*$L78*$U$12)+(T78/12*1*$E78*$F78*$G78*$L78*$U$14)</f>
        <v>481952.17875000002</v>
      </c>
      <c r="V78" s="182"/>
      <c r="W78" s="183">
        <f t="shared" ref="W78:W79" si="301">(V78*$E78*$F78*$G78*$L78*$W$12)/12*10+(V78*$E78*$F78*$G78*$L78*$W$13)/12*1++(V78*$E78*$F78*$G78*$L78*$W$14)/12*1</f>
        <v>0</v>
      </c>
      <c r="X78" s="183"/>
      <c r="Y78" s="183">
        <v>0</v>
      </c>
      <c r="Z78" s="183"/>
      <c r="AA78" s="183">
        <v>0</v>
      </c>
      <c r="AB78" s="182">
        <f t="shared" si="291"/>
        <v>0</v>
      </c>
      <c r="AC78" s="182">
        <f t="shared" si="291"/>
        <v>0</v>
      </c>
      <c r="AD78" s="182"/>
      <c r="AE78" s="182">
        <f>(AD78*$E78*$F78*$G78*$L78*$AE$12)</f>
        <v>0</v>
      </c>
      <c r="AF78" s="182"/>
      <c r="AG78" s="182"/>
      <c r="AH78" s="182"/>
      <c r="AI78" s="182">
        <f>(AH78*$E78*$F78*$G78*$L78*$AI$12)</f>
        <v>0</v>
      </c>
      <c r="AJ78" s="182"/>
      <c r="AK78" s="182"/>
      <c r="AL78" s="182"/>
      <c r="AM78" s="182"/>
      <c r="AN78" s="184"/>
      <c r="AO78" s="182">
        <f>(AN78*$E78*$F78*$G78*$L78*$AO$12)</f>
        <v>0</v>
      </c>
      <c r="AP78" s="182"/>
      <c r="AQ78" s="183">
        <f>(AP78*$E78*$F78*$G78*$L78*$AQ$12)</f>
        <v>0</v>
      </c>
      <c r="AR78" s="182"/>
      <c r="AS78" s="182">
        <f t="shared" ref="AS78:AS79" si="302">(AR78*$E78*$F78*$G78*$L78*$AS$12)/12*10+(AR78*$E78*$F78*$G78*$L78*$AS$13)/12*1+(AR78*$E78*$F78*$G78*$L78*$AS$14)/12*1</f>
        <v>0</v>
      </c>
      <c r="AT78" s="182">
        <v>1</v>
      </c>
      <c r="AU78" s="182">
        <f>(AT78*$E78*$F78*$G78*$M78*$AU$12)/12*10+(AT78*$E78*$F78*$G78*$M78*$AU$13)/12+(AT78*$E78*$F78*$G78*$M78*$AU$14*$AU$15)/12</f>
        <v>52790.632853742005</v>
      </c>
      <c r="AV78" s="188"/>
      <c r="AW78" s="182">
        <f>(AV78*$E78*$F78*$G78*$M78*$AW$12)</f>
        <v>0</v>
      </c>
      <c r="AX78" s="182"/>
      <c r="AY78" s="187">
        <f>(AX78*$E78*$F78*$G78*$M78*$AY$12)</f>
        <v>0</v>
      </c>
      <c r="AZ78" s="182"/>
      <c r="BA78" s="182">
        <f>(AZ78*$E78*$F78*$G78*$L78*$BA$12)</f>
        <v>0</v>
      </c>
      <c r="BB78" s="182"/>
      <c r="BC78" s="182">
        <f>(BB78*$E78*$F78*$G78*$L78*$BC$12)</f>
        <v>0</v>
      </c>
      <c r="BD78" s="182"/>
      <c r="BE78" s="182">
        <f>(BD78*$E78*$F78*$G78*$L78*$BE$12)</f>
        <v>0</v>
      </c>
      <c r="BF78" s="182"/>
      <c r="BG78" s="182">
        <f>(BF78*$E78*$F78*$G78*$L78*$BG$12)</f>
        <v>0</v>
      </c>
      <c r="BH78" s="182"/>
      <c r="BI78" s="183">
        <f>(BH78*$E78*$F78*$G78*$L78*$BI$12)</f>
        <v>0</v>
      </c>
      <c r="BJ78" s="182"/>
      <c r="BK78" s="183">
        <f>(BJ78*$E78*$F78*$G78*$L78*$BK$12)</f>
        <v>0</v>
      </c>
      <c r="BL78" s="182"/>
      <c r="BM78" s="182">
        <f>(BL78*$E78*$F78*$G78*$L78*$BM$12)</f>
        <v>0</v>
      </c>
      <c r="BN78" s="182"/>
      <c r="BO78" s="182">
        <f>(BN78*$E78*$F78*$G78*$M78*$BO$12)</f>
        <v>0</v>
      </c>
      <c r="BP78" s="182"/>
      <c r="BQ78" s="182">
        <f>(BP78*$E78*$F78*$G78*$M78*$BQ$12)</f>
        <v>0</v>
      </c>
      <c r="BR78" s="182"/>
      <c r="BS78" s="183">
        <f>(BR78*$E78*$F78*$G78*$M78*$BS$12)</f>
        <v>0</v>
      </c>
      <c r="BT78" s="182"/>
      <c r="BU78" s="182">
        <f>(BT78*$E78*$F78*$G78*$M78*$BU$12)</f>
        <v>0</v>
      </c>
      <c r="BV78" s="182"/>
      <c r="BW78" s="182">
        <f>(BV78*$E78*$F78*$G78*$M78*$BW$12)</f>
        <v>0</v>
      </c>
      <c r="BX78" s="182"/>
      <c r="BY78" s="183">
        <f>(BX78*$E78*$F78*$G78*$M78*$BY$12)</f>
        <v>0</v>
      </c>
      <c r="BZ78" s="182"/>
      <c r="CA78" s="187">
        <f>(BZ78*$E78*$F78*$G78*$M78*$CA$12)</f>
        <v>0</v>
      </c>
      <c r="CB78" s="182"/>
      <c r="CC78" s="182">
        <f>(CB78*$E78*$F78*$G78*$L78*$CC$12)</f>
        <v>0</v>
      </c>
      <c r="CD78" s="182"/>
      <c r="CE78" s="182">
        <f>(CD78*$E78*$F78*$G78*$L78*$CE$12)</f>
        <v>0</v>
      </c>
      <c r="CF78" s="182"/>
      <c r="CG78" s="182">
        <f>(CF78*$E78*$F78*$G78*$L78*$CG$12)</f>
        <v>0</v>
      </c>
      <c r="CH78" s="182"/>
      <c r="CI78" s="182">
        <f>(CH78*$E78*$F78*$G78*$M78*$CI$12)</f>
        <v>0</v>
      </c>
      <c r="CJ78" s="182"/>
      <c r="CK78" s="182"/>
      <c r="CL78" s="182"/>
      <c r="CM78" s="183">
        <f>(CL78*$E78*$F78*$G78*$L78*$CM$12)</f>
        <v>0</v>
      </c>
      <c r="CN78" s="182"/>
      <c r="CO78" s="183">
        <f>(CN78*$E78*$F78*$G78*$L78*$CO$12)</f>
        <v>0</v>
      </c>
      <c r="CP78" s="182"/>
      <c r="CQ78" s="182">
        <f>(CP78*$E78*$F78*$G78*$L78*$CQ$12)</f>
        <v>0</v>
      </c>
      <c r="CR78" s="182"/>
      <c r="CS78" s="182">
        <f>(CR78*$E78*$F78*$G78*$L78*$CS$12)</f>
        <v>0</v>
      </c>
      <c r="CT78" s="182"/>
      <c r="CU78" s="182">
        <f>(CT78*$E78*$F78*$G78*$L78*$CU$12)</f>
        <v>0</v>
      </c>
      <c r="CV78" s="182">
        <v>1</v>
      </c>
      <c r="CW78" s="182">
        <v>45809.32</v>
      </c>
      <c r="CX78" s="182"/>
      <c r="CY78" s="182">
        <f>(CX78*$E78*$F78*$G78*$M78*$CY$12)</f>
        <v>0</v>
      </c>
      <c r="CZ78" s="182"/>
      <c r="DA78" s="182">
        <v>0</v>
      </c>
      <c r="DB78" s="188"/>
      <c r="DC78" s="182">
        <f>(DB78*$E78*$F78*$G78*$M78*$DC$12)</f>
        <v>0</v>
      </c>
      <c r="DD78" s="182"/>
      <c r="DE78" s="187">
        <f t="shared" ref="DE78:DE79" si="303">(DD78*$E78*$F78*$G78*$M78*DE$12)</f>
        <v>0</v>
      </c>
      <c r="DF78" s="182"/>
      <c r="DG78" s="182">
        <f>(DF78*$E78*$F78*$G78*$M78*$DG$12)</f>
        <v>0</v>
      </c>
      <c r="DH78" s="189"/>
      <c r="DI78" s="182">
        <f>(DH78*$E78*$F78*$G78*$M78*$BY$12)</f>
        <v>0</v>
      </c>
      <c r="DJ78" s="182"/>
      <c r="DK78" s="182">
        <f>(DJ78*$E78*$F78*$G78*$M78*$DK$12)</f>
        <v>0</v>
      </c>
      <c r="DL78" s="182"/>
      <c r="DM78" s="182">
        <f>(DL78*$E78*$F78*$G78*$N78*$DM$12)</f>
        <v>0</v>
      </c>
      <c r="DN78" s="182"/>
      <c r="DO78" s="190">
        <f>(DN78*$E78*$F78*$G78*$O78*$DO$12)</f>
        <v>0</v>
      </c>
      <c r="DP78" s="187"/>
      <c r="DQ78" s="187"/>
      <c r="DR78" s="183">
        <f t="shared" si="296"/>
        <v>12</v>
      </c>
      <c r="DS78" s="183">
        <f t="shared" si="296"/>
        <v>580552.13160374202</v>
      </c>
      <c r="DT78" s="182">
        <v>12</v>
      </c>
      <c r="DU78" s="182">
        <v>574525.17550000001</v>
      </c>
      <c r="DV78" s="167">
        <f t="shared" si="5"/>
        <v>0</v>
      </c>
      <c r="DW78" s="167">
        <f t="shared" si="5"/>
        <v>6026.9561037420062</v>
      </c>
    </row>
    <row r="79" spans="1:127" ht="15.75" customHeight="1" x14ac:dyDescent="0.25">
      <c r="A79" s="154"/>
      <c r="B79" s="176">
        <v>54</v>
      </c>
      <c r="C79" s="177" t="s">
        <v>252</v>
      </c>
      <c r="D79" s="210" t="s">
        <v>253</v>
      </c>
      <c r="E79" s="158">
        <v>25969</v>
      </c>
      <c r="F79" s="179">
        <v>1.25</v>
      </c>
      <c r="G79" s="168">
        <v>1</v>
      </c>
      <c r="H79" s="169"/>
      <c r="I79" s="169"/>
      <c r="J79" s="169"/>
      <c r="K79" s="106"/>
      <c r="L79" s="180">
        <v>1.4</v>
      </c>
      <c r="M79" s="180">
        <v>1.68</v>
      </c>
      <c r="N79" s="180">
        <v>2.23</v>
      </c>
      <c r="O79" s="181">
        <v>2.57</v>
      </c>
      <c r="P79" s="182"/>
      <c r="Q79" s="182">
        <f>(P79*$E79*$F79*$G79*$L79*$Q$12)</f>
        <v>0</v>
      </c>
      <c r="R79" s="182"/>
      <c r="S79" s="182">
        <f>(R79*$E79*$F79*$G79*$L79*$S$12)</f>
        <v>0</v>
      </c>
      <c r="T79" s="182">
        <f>10+15</f>
        <v>25</v>
      </c>
      <c r="U79" s="182">
        <f t="shared" si="300"/>
        <v>1434381.4843750002</v>
      </c>
      <c r="V79" s="182"/>
      <c r="W79" s="183">
        <f t="shared" si="301"/>
        <v>0</v>
      </c>
      <c r="X79" s="183"/>
      <c r="Y79" s="183">
        <v>0</v>
      </c>
      <c r="Z79" s="183"/>
      <c r="AA79" s="183">
        <v>0</v>
      </c>
      <c r="AB79" s="182">
        <f t="shared" si="291"/>
        <v>0</v>
      </c>
      <c r="AC79" s="182">
        <f t="shared" si="291"/>
        <v>0</v>
      </c>
      <c r="AD79" s="182"/>
      <c r="AE79" s="182">
        <f>(AD79*$E79*$F79*$G79*$L79*$AE$12)</f>
        <v>0</v>
      </c>
      <c r="AF79" s="182"/>
      <c r="AG79" s="182"/>
      <c r="AH79" s="182"/>
      <c r="AI79" s="182">
        <f>(AH79*$E79*$F79*$G79*$L79*$AI$12)</f>
        <v>0</v>
      </c>
      <c r="AJ79" s="182"/>
      <c r="AK79" s="182"/>
      <c r="AL79" s="182"/>
      <c r="AM79" s="182"/>
      <c r="AN79" s="184"/>
      <c r="AO79" s="182">
        <f>(AN79*$E79*$F79*$G79*$L79*$AO$12)</f>
        <v>0</v>
      </c>
      <c r="AP79" s="182"/>
      <c r="AQ79" s="183">
        <f>(AP79*$E79*$F79*$G79*$L79*$AQ$12)</f>
        <v>0</v>
      </c>
      <c r="AR79" s="182"/>
      <c r="AS79" s="182">
        <f t="shared" si="302"/>
        <v>0</v>
      </c>
      <c r="AT79" s="182"/>
      <c r="AU79" s="182">
        <f>(AT79*$E79*$F79*$G79*$M79*$AU$12)</f>
        <v>0</v>
      </c>
      <c r="AV79" s="188"/>
      <c r="AW79" s="182">
        <f>(AV79*$E79*$F79*$G79*$M79*$AW$12)</f>
        <v>0</v>
      </c>
      <c r="AX79" s="182"/>
      <c r="AY79" s="187">
        <f>(AX79*$E79*$F79*$G79*$M79*$AY$12)</f>
        <v>0</v>
      </c>
      <c r="AZ79" s="182"/>
      <c r="BA79" s="182">
        <f>(AZ79*$E79*$F79*$G79*$L79*$BA$12)</f>
        <v>0</v>
      </c>
      <c r="BB79" s="182"/>
      <c r="BC79" s="182">
        <f>(BB79*$E79*$F79*$G79*$L79*$BC$12)</f>
        <v>0</v>
      </c>
      <c r="BD79" s="182"/>
      <c r="BE79" s="182">
        <f>(BD79*$E79*$F79*$G79*$L79*$BE$12)</f>
        <v>0</v>
      </c>
      <c r="BF79" s="182"/>
      <c r="BG79" s="182">
        <f>(BF79*$E79*$F79*$G79*$L79*$BG$12)</f>
        <v>0</v>
      </c>
      <c r="BH79" s="182"/>
      <c r="BI79" s="183">
        <f>(BH79*$E79*$F79*$G79*$L79*$BI$12)</f>
        <v>0</v>
      </c>
      <c r="BJ79" s="182"/>
      <c r="BK79" s="183">
        <f>(BJ79*$E79*$F79*$G79*$L79*$BK$12)</f>
        <v>0</v>
      </c>
      <c r="BL79" s="182"/>
      <c r="BM79" s="182">
        <f>(BL79*$E79*$F79*$G79*$L79*$BM$12)</f>
        <v>0</v>
      </c>
      <c r="BN79" s="182"/>
      <c r="BO79" s="182">
        <f>(BN79*$E79*$F79*$G79*$M79*$BO$12)</f>
        <v>0</v>
      </c>
      <c r="BP79" s="182"/>
      <c r="BQ79" s="182">
        <f>(BP79*$E79*$F79*$G79*$M79*$BQ$12)</f>
        <v>0</v>
      </c>
      <c r="BR79" s="182"/>
      <c r="BS79" s="183">
        <f>(BR79*$E79*$F79*$G79*$M79*$BS$12)</f>
        <v>0</v>
      </c>
      <c r="BT79" s="182"/>
      <c r="BU79" s="182">
        <f>(BT79*$E79*$F79*$G79*$M79*$BU$12)</f>
        <v>0</v>
      </c>
      <c r="BV79" s="182"/>
      <c r="BW79" s="182">
        <f>(BV79*$E79*$F79*$G79*$M79*$BW$12)</f>
        <v>0</v>
      </c>
      <c r="BX79" s="182"/>
      <c r="BY79" s="183">
        <f>(BX79*$E79*$F79*$G79*$M79*$BY$12)</f>
        <v>0</v>
      </c>
      <c r="BZ79" s="182"/>
      <c r="CA79" s="187">
        <f>(BZ79*$E79*$F79*$G79*$M79*$CA$12)</f>
        <v>0</v>
      </c>
      <c r="CB79" s="182"/>
      <c r="CC79" s="182">
        <f>(CB79*$E79*$F79*$G79*$L79*$CC$12)</f>
        <v>0</v>
      </c>
      <c r="CD79" s="182"/>
      <c r="CE79" s="182">
        <f>(CD79*$E79*$F79*$G79*$L79*$CE$12)</f>
        <v>0</v>
      </c>
      <c r="CF79" s="182"/>
      <c r="CG79" s="182">
        <f>(CF79*$E79*$F79*$G79*$L79*$CG$12)</f>
        <v>0</v>
      </c>
      <c r="CH79" s="182"/>
      <c r="CI79" s="182">
        <f>(CH79*$E79*$F79*$G79*$M79*$CI$12)</f>
        <v>0</v>
      </c>
      <c r="CJ79" s="182"/>
      <c r="CK79" s="182"/>
      <c r="CL79" s="182"/>
      <c r="CM79" s="183">
        <f>(CL79*$E79*$F79*$G79*$L79*$CM$12)</f>
        <v>0</v>
      </c>
      <c r="CN79" s="182"/>
      <c r="CO79" s="183">
        <f>(CN79*$E79*$F79*$G79*$L79*$CO$12)</f>
        <v>0</v>
      </c>
      <c r="CP79" s="182"/>
      <c r="CQ79" s="182">
        <f>(CP79*$E79*$F79*$G79*$L79*$CQ$12)</f>
        <v>0</v>
      </c>
      <c r="CR79" s="182"/>
      <c r="CS79" s="182">
        <f>(CR79*$E79*$F79*$G79*$L79*$CS$12)</f>
        <v>0</v>
      </c>
      <c r="CT79" s="182"/>
      <c r="CU79" s="182">
        <f>(CT79*$E79*$F79*$G79*$L79*$CU$12)</f>
        <v>0</v>
      </c>
      <c r="CV79" s="182">
        <v>1</v>
      </c>
      <c r="CW79" s="182">
        <v>54534.9</v>
      </c>
      <c r="CX79" s="182"/>
      <c r="CY79" s="182">
        <f>(CX79*$E79*$F79*$G79*$M79*$CY$12)</f>
        <v>0</v>
      </c>
      <c r="CZ79" s="182"/>
      <c r="DA79" s="182">
        <v>0</v>
      </c>
      <c r="DB79" s="188"/>
      <c r="DC79" s="182">
        <f>(DB79*$E79*$F79*$G79*$M79*$DC$12)</f>
        <v>0</v>
      </c>
      <c r="DD79" s="182"/>
      <c r="DE79" s="187">
        <f t="shared" si="303"/>
        <v>0</v>
      </c>
      <c r="DF79" s="182"/>
      <c r="DG79" s="182">
        <f>(DF79*$E79*$F79*$G79*$M79*$DG$12)</f>
        <v>0</v>
      </c>
      <c r="DH79" s="189"/>
      <c r="DI79" s="182">
        <f>(DH79*$E79*$F79*$G79*$M79*$BY$12)</f>
        <v>0</v>
      </c>
      <c r="DJ79" s="182"/>
      <c r="DK79" s="182">
        <f>(DJ79*$E79*$F79*$G79*$M79*$DK$12)</f>
        <v>0</v>
      </c>
      <c r="DL79" s="182"/>
      <c r="DM79" s="182">
        <f>(DL79*$E79*$F79*$G79*$N79*$DM$12)</f>
        <v>0</v>
      </c>
      <c r="DN79" s="182"/>
      <c r="DO79" s="190">
        <f>(DN79*$E79*$F79*$G79*$O79*$DO$12)</f>
        <v>0</v>
      </c>
      <c r="DP79" s="187"/>
      <c r="DQ79" s="187"/>
      <c r="DR79" s="183">
        <f t="shared" si="296"/>
        <v>26</v>
      </c>
      <c r="DS79" s="183">
        <f t="shared" si="296"/>
        <v>1488916.3843750001</v>
      </c>
      <c r="DT79" s="182">
        <v>26</v>
      </c>
      <c r="DU79" s="182">
        <v>1474714.5874999999</v>
      </c>
      <c r="DV79" s="167">
        <f t="shared" si="5"/>
        <v>0</v>
      </c>
      <c r="DW79" s="167">
        <f t="shared" si="5"/>
        <v>14201.796875000233</v>
      </c>
    </row>
    <row r="80" spans="1:127" ht="15.75" customHeight="1" x14ac:dyDescent="0.25">
      <c r="A80" s="170">
        <v>11</v>
      </c>
      <c r="B80" s="197"/>
      <c r="C80" s="198"/>
      <c r="D80" s="211" t="s">
        <v>254</v>
      </c>
      <c r="E80" s="158">
        <v>25969</v>
      </c>
      <c r="F80" s="199">
        <v>1.48</v>
      </c>
      <c r="G80" s="171"/>
      <c r="H80" s="169"/>
      <c r="I80" s="169"/>
      <c r="J80" s="169"/>
      <c r="K80" s="173"/>
      <c r="L80" s="174">
        <v>1.4</v>
      </c>
      <c r="M80" s="174">
        <v>1.68</v>
      </c>
      <c r="N80" s="174">
        <v>2.23</v>
      </c>
      <c r="O80" s="175">
        <v>2.57</v>
      </c>
      <c r="P80" s="166">
        <f t="shared" ref="P80:AD80" si="304">SUM(P81:P84)</f>
        <v>0</v>
      </c>
      <c r="Q80" s="166">
        <f t="shared" si="304"/>
        <v>0</v>
      </c>
      <c r="R80" s="166">
        <f t="shared" si="304"/>
        <v>0</v>
      </c>
      <c r="S80" s="166">
        <f t="shared" si="304"/>
        <v>0</v>
      </c>
      <c r="T80" s="166">
        <f t="shared" si="304"/>
        <v>519</v>
      </c>
      <c r="U80" s="166">
        <f t="shared" si="304"/>
        <v>40629296.709539995</v>
      </c>
      <c r="V80" s="166">
        <f t="shared" si="304"/>
        <v>0</v>
      </c>
      <c r="W80" s="166">
        <f t="shared" si="304"/>
        <v>0</v>
      </c>
      <c r="X80" s="166">
        <v>0</v>
      </c>
      <c r="Y80" s="166">
        <v>0</v>
      </c>
      <c r="Z80" s="166">
        <v>0</v>
      </c>
      <c r="AA80" s="166">
        <v>0</v>
      </c>
      <c r="AB80" s="166">
        <f t="shared" si="304"/>
        <v>0</v>
      </c>
      <c r="AC80" s="166">
        <f t="shared" si="304"/>
        <v>0</v>
      </c>
      <c r="AD80" s="166">
        <f t="shared" si="304"/>
        <v>0</v>
      </c>
      <c r="AE80" s="166">
        <f t="shared" ref="AE80:CP80" si="305">SUM(AE81:AE84)</f>
        <v>0</v>
      </c>
      <c r="AF80" s="166">
        <f t="shared" si="305"/>
        <v>0</v>
      </c>
      <c r="AG80" s="166">
        <f t="shared" si="305"/>
        <v>0</v>
      </c>
      <c r="AH80" s="166">
        <f t="shared" si="305"/>
        <v>0</v>
      </c>
      <c r="AI80" s="166">
        <f t="shared" si="305"/>
        <v>0</v>
      </c>
      <c r="AJ80" s="166">
        <f>SUM(AJ81:AJ84)</f>
        <v>0</v>
      </c>
      <c r="AK80" s="166">
        <f>SUM(AK81:AK84)</f>
        <v>0</v>
      </c>
      <c r="AL80" s="166">
        <f t="shared" si="305"/>
        <v>0</v>
      </c>
      <c r="AM80" s="166">
        <f t="shared" si="305"/>
        <v>0</v>
      </c>
      <c r="AN80" s="166">
        <f t="shared" si="305"/>
        <v>0</v>
      </c>
      <c r="AO80" s="166">
        <f t="shared" si="305"/>
        <v>0</v>
      </c>
      <c r="AP80" s="166">
        <f t="shared" si="305"/>
        <v>0</v>
      </c>
      <c r="AQ80" s="166">
        <f t="shared" si="305"/>
        <v>0</v>
      </c>
      <c r="AR80" s="166">
        <f t="shared" si="305"/>
        <v>0</v>
      </c>
      <c r="AS80" s="166">
        <f t="shared" si="305"/>
        <v>0</v>
      </c>
      <c r="AT80" s="166">
        <f t="shared" si="305"/>
        <v>6</v>
      </c>
      <c r="AU80" s="166">
        <f t="shared" si="305"/>
        <v>455507.74633800244</v>
      </c>
      <c r="AV80" s="166">
        <f t="shared" si="305"/>
        <v>0</v>
      </c>
      <c r="AW80" s="166">
        <f t="shared" si="305"/>
        <v>0</v>
      </c>
      <c r="AX80" s="166">
        <f t="shared" si="305"/>
        <v>2</v>
      </c>
      <c r="AY80" s="166">
        <f t="shared" si="305"/>
        <v>144931.95024000001</v>
      </c>
      <c r="AZ80" s="166">
        <f t="shared" si="305"/>
        <v>0</v>
      </c>
      <c r="BA80" s="166">
        <f t="shared" si="305"/>
        <v>0</v>
      </c>
      <c r="BB80" s="166">
        <f t="shared" si="305"/>
        <v>0</v>
      </c>
      <c r="BC80" s="166">
        <f t="shared" si="305"/>
        <v>0</v>
      </c>
      <c r="BD80" s="166">
        <f t="shared" si="305"/>
        <v>0</v>
      </c>
      <c r="BE80" s="166">
        <f t="shared" si="305"/>
        <v>0</v>
      </c>
      <c r="BF80" s="166">
        <f t="shared" si="305"/>
        <v>0</v>
      </c>
      <c r="BG80" s="166">
        <f t="shared" si="305"/>
        <v>0</v>
      </c>
      <c r="BH80" s="166">
        <f t="shared" si="305"/>
        <v>0</v>
      </c>
      <c r="BI80" s="166">
        <f t="shared" si="305"/>
        <v>0</v>
      </c>
      <c r="BJ80" s="166">
        <f t="shared" si="305"/>
        <v>0</v>
      </c>
      <c r="BK80" s="166">
        <f t="shared" si="305"/>
        <v>0</v>
      </c>
      <c r="BL80" s="166">
        <f t="shared" si="305"/>
        <v>0</v>
      </c>
      <c r="BM80" s="166">
        <f t="shared" si="305"/>
        <v>0</v>
      </c>
      <c r="BN80" s="166">
        <f t="shared" si="305"/>
        <v>0</v>
      </c>
      <c r="BO80" s="166">
        <f t="shared" si="305"/>
        <v>0</v>
      </c>
      <c r="BP80" s="166">
        <f t="shared" si="305"/>
        <v>40</v>
      </c>
      <c r="BQ80" s="166">
        <f t="shared" si="305"/>
        <v>2833997.1590543203</v>
      </c>
      <c r="BR80" s="166">
        <f t="shared" si="305"/>
        <v>0</v>
      </c>
      <c r="BS80" s="166">
        <f t="shared" si="305"/>
        <v>0</v>
      </c>
      <c r="BT80" s="166">
        <f t="shared" si="305"/>
        <v>8</v>
      </c>
      <c r="BU80" s="166">
        <f t="shared" si="305"/>
        <v>587106.85749076481</v>
      </c>
      <c r="BV80" s="166">
        <f t="shared" si="305"/>
        <v>1</v>
      </c>
      <c r="BW80" s="166">
        <f t="shared" si="305"/>
        <v>110727.66096000001</v>
      </c>
      <c r="BX80" s="166">
        <f t="shared" si="305"/>
        <v>3</v>
      </c>
      <c r="BY80" s="166">
        <f t="shared" si="305"/>
        <v>266545.66724956798</v>
      </c>
      <c r="BZ80" s="166">
        <f t="shared" si="305"/>
        <v>11</v>
      </c>
      <c r="CA80" s="166">
        <f t="shared" si="305"/>
        <v>1019340.9746203319</v>
      </c>
      <c r="CB80" s="166">
        <f t="shared" si="305"/>
        <v>0</v>
      </c>
      <c r="CC80" s="166">
        <f t="shared" si="305"/>
        <v>0</v>
      </c>
      <c r="CD80" s="166">
        <f t="shared" si="305"/>
        <v>0</v>
      </c>
      <c r="CE80" s="166">
        <f t="shared" si="305"/>
        <v>0</v>
      </c>
      <c r="CF80" s="166">
        <f t="shared" si="305"/>
        <v>0</v>
      </c>
      <c r="CG80" s="166">
        <f t="shared" si="305"/>
        <v>0</v>
      </c>
      <c r="CH80" s="166">
        <f t="shared" si="305"/>
        <v>3</v>
      </c>
      <c r="CI80" s="166">
        <f t="shared" si="305"/>
        <v>218692.89451679034</v>
      </c>
      <c r="CJ80" s="166">
        <f t="shared" si="305"/>
        <v>0</v>
      </c>
      <c r="CK80" s="166">
        <f t="shared" si="305"/>
        <v>0</v>
      </c>
      <c r="CL80" s="166">
        <f t="shared" si="305"/>
        <v>0</v>
      </c>
      <c r="CM80" s="166">
        <f t="shared" si="305"/>
        <v>0</v>
      </c>
      <c r="CN80" s="166">
        <f t="shared" si="305"/>
        <v>0</v>
      </c>
      <c r="CO80" s="166">
        <f t="shared" si="305"/>
        <v>0</v>
      </c>
      <c r="CP80" s="166">
        <f t="shared" si="305"/>
        <v>4</v>
      </c>
      <c r="CQ80" s="166">
        <f t="shared" ref="CQ80:DQ80" si="306">SUM(CQ81:CQ84)</f>
        <v>243380.27134848002</v>
      </c>
      <c r="CR80" s="166">
        <f t="shared" si="306"/>
        <v>0</v>
      </c>
      <c r="CS80" s="166">
        <f t="shared" si="306"/>
        <v>0</v>
      </c>
      <c r="CT80" s="166">
        <f t="shared" si="306"/>
        <v>0</v>
      </c>
      <c r="CU80" s="166">
        <f t="shared" si="306"/>
        <v>0</v>
      </c>
      <c r="CV80" s="166">
        <f t="shared" si="306"/>
        <v>3</v>
      </c>
      <c r="CW80" s="166">
        <v>131756.32</v>
      </c>
      <c r="CX80" s="166">
        <f t="shared" si="306"/>
        <v>2</v>
      </c>
      <c r="CY80" s="166">
        <f t="shared" si="306"/>
        <v>142190.10125409596</v>
      </c>
      <c r="CZ80" s="166">
        <f t="shared" si="306"/>
        <v>0</v>
      </c>
      <c r="DA80" s="166">
        <v>0</v>
      </c>
      <c r="DB80" s="166">
        <f t="shared" si="306"/>
        <v>0</v>
      </c>
      <c r="DC80" s="166">
        <f t="shared" si="306"/>
        <v>0</v>
      </c>
      <c r="DD80" s="166">
        <f t="shared" si="306"/>
        <v>0</v>
      </c>
      <c r="DE80" s="166">
        <f t="shared" si="306"/>
        <v>0</v>
      </c>
      <c r="DF80" s="166">
        <f t="shared" si="306"/>
        <v>0</v>
      </c>
      <c r="DG80" s="166">
        <f t="shared" si="306"/>
        <v>0</v>
      </c>
      <c r="DH80" s="166">
        <f t="shared" si="306"/>
        <v>0</v>
      </c>
      <c r="DI80" s="166">
        <f t="shared" si="306"/>
        <v>0</v>
      </c>
      <c r="DJ80" s="166">
        <f t="shared" si="306"/>
        <v>2</v>
      </c>
      <c r="DK80" s="166">
        <f t="shared" si="306"/>
        <v>143573.76219115997</v>
      </c>
      <c r="DL80" s="166">
        <f t="shared" si="306"/>
        <v>0</v>
      </c>
      <c r="DM80" s="166">
        <f t="shared" si="306"/>
        <v>0</v>
      </c>
      <c r="DN80" s="166">
        <f t="shared" si="306"/>
        <v>2</v>
      </c>
      <c r="DO80" s="166">
        <f t="shared" si="306"/>
        <v>201555.7966</v>
      </c>
      <c r="DP80" s="166">
        <f t="shared" si="306"/>
        <v>0</v>
      </c>
      <c r="DQ80" s="166">
        <f t="shared" si="306"/>
        <v>0</v>
      </c>
      <c r="DR80" s="166">
        <f>SUM(DR81:DR84)</f>
        <v>606</v>
      </c>
      <c r="DS80" s="166">
        <f t="shared" ref="DS80" si="307">SUM(DS81:DS84)</f>
        <v>47128603.871403515</v>
      </c>
      <c r="DT80" s="166">
        <v>606</v>
      </c>
      <c r="DU80" s="166">
        <v>45603859.661199987</v>
      </c>
      <c r="DV80" s="167">
        <f t="shared" si="5"/>
        <v>0</v>
      </c>
      <c r="DW80" s="167">
        <f t="shared" si="5"/>
        <v>1524744.2102035284</v>
      </c>
    </row>
    <row r="81" spans="1:127" ht="15.75" customHeight="1" x14ac:dyDescent="0.25">
      <c r="A81" s="154"/>
      <c r="B81" s="176">
        <v>55</v>
      </c>
      <c r="C81" s="177" t="s">
        <v>255</v>
      </c>
      <c r="D81" s="210" t="s">
        <v>256</v>
      </c>
      <c r="E81" s="158">
        <v>25969</v>
      </c>
      <c r="F81" s="179">
        <v>1.51</v>
      </c>
      <c r="G81" s="168">
        <v>1</v>
      </c>
      <c r="H81" s="169"/>
      <c r="I81" s="169"/>
      <c r="J81" s="169"/>
      <c r="K81" s="106"/>
      <c r="L81" s="180">
        <v>1.4</v>
      </c>
      <c r="M81" s="180">
        <v>1.68</v>
      </c>
      <c r="N81" s="180">
        <v>2.23</v>
      </c>
      <c r="O81" s="181">
        <v>2.57</v>
      </c>
      <c r="P81" s="182"/>
      <c r="Q81" s="182">
        <f>(P81*$E81*$F81*$G81*$L81*$Q$12)</f>
        <v>0</v>
      </c>
      <c r="R81" s="182"/>
      <c r="S81" s="182">
        <f>(R81*$E81*$F81*$G81*$L81*$S$12)</f>
        <v>0</v>
      </c>
      <c r="T81" s="182">
        <f>250+4</f>
        <v>254</v>
      </c>
      <c r="U81" s="182">
        <f t="shared" ref="U81:U84" si="308">(T81/12*11*$E81*$F81*$G81*$L81*$U$12)+(T81/12*1*$E81*$F81*$G81*$L81*$U$14)</f>
        <v>17604565.584550004</v>
      </c>
      <c r="V81" s="182"/>
      <c r="W81" s="183">
        <f>(V81*$E81*$F81*$G81*$L81*$W$12)/12*10+(V81*$E81*$F81*$G81*$L81*$W$13)/12*1++(V81*$E81*$F81*$G81*$L81*$W$14)/12*1</f>
        <v>0</v>
      </c>
      <c r="X81" s="183"/>
      <c r="Y81" s="183">
        <v>0</v>
      </c>
      <c r="Z81" s="183"/>
      <c r="AA81" s="183">
        <v>0</v>
      </c>
      <c r="AB81" s="182">
        <f t="shared" ref="AB81:AC84" si="309">X81+Z81</f>
        <v>0</v>
      </c>
      <c r="AC81" s="182">
        <f t="shared" si="309"/>
        <v>0</v>
      </c>
      <c r="AD81" s="182"/>
      <c r="AE81" s="182">
        <f>(AD81*$E81*$F81*$G81*$L81*$AE$12)</f>
        <v>0</v>
      </c>
      <c r="AF81" s="182"/>
      <c r="AG81" s="182"/>
      <c r="AH81" s="182"/>
      <c r="AI81" s="182">
        <f>(AH81*$E81*$F81*$G81*$L81*$AI$12)</f>
        <v>0</v>
      </c>
      <c r="AJ81" s="182"/>
      <c r="AK81" s="182"/>
      <c r="AL81" s="182"/>
      <c r="AM81" s="182"/>
      <c r="AN81" s="184"/>
      <c r="AO81" s="182">
        <f>(AN81*$E81*$F81*$G81*$L81*$AO$12)</f>
        <v>0</v>
      </c>
      <c r="AP81" s="182"/>
      <c r="AQ81" s="183">
        <f>(AP81*$E81*$F81*$G81*$L81*$AQ$12)</f>
        <v>0</v>
      </c>
      <c r="AR81" s="182"/>
      <c r="AS81" s="182">
        <f t="shared" ref="AS81:AS84" si="310">(AR81*$E81*$F81*$G81*$L81*$AS$12)/12*10+(AR81*$E81*$F81*$G81*$L81*$AS$13)/12*1+(AR81*$E81*$F81*$G81*$L81*$AS$14)/12*1</f>
        <v>0</v>
      </c>
      <c r="AT81" s="182">
        <v>6</v>
      </c>
      <c r="AU81" s="182">
        <f>(AT81*$E81*$F81*$G81*$M81*$AU$12)/12*10+(AT81*$E81*$F81*$G81*$M81*$AU$13)/12+(AT81*$E81*$F81*$G81*$M81*$AU$14*$AU$15)/12</f>
        <v>455507.74633800244</v>
      </c>
      <c r="AV81" s="188"/>
      <c r="AW81" s="182">
        <f>(AV81*$E81*$F81*$G81*$M81*$AW$12)</f>
        <v>0</v>
      </c>
      <c r="AX81" s="182">
        <v>2</v>
      </c>
      <c r="AY81" s="187">
        <f>(AX81*$E81*$F81*$G81*$M81*$AY$12)</f>
        <v>144931.95024000001</v>
      </c>
      <c r="AZ81" s="182"/>
      <c r="BA81" s="182">
        <f>(AZ81*$E81*$F81*$G81*$L81*$BA$12)</f>
        <v>0</v>
      </c>
      <c r="BB81" s="182"/>
      <c r="BC81" s="182">
        <f>(BB81*$E81*$F81*$G81*$L81*$BC$12)</f>
        <v>0</v>
      </c>
      <c r="BD81" s="182"/>
      <c r="BE81" s="182">
        <f>(BD81*$E81*$F81*$G81*$L81*$BE$12)</f>
        <v>0</v>
      </c>
      <c r="BF81" s="182"/>
      <c r="BG81" s="182">
        <f>(BF81*$E81*$F81*$G81*$L81*$BG$12)</f>
        <v>0</v>
      </c>
      <c r="BH81" s="182"/>
      <c r="BI81" s="183">
        <f>(BH81*$E81*$F81*$G81*$L81*$BI$12)</f>
        <v>0</v>
      </c>
      <c r="BJ81" s="182"/>
      <c r="BK81" s="183">
        <f>(BJ81*$E81*$F81*$G81*$L81*$BK$12)</f>
        <v>0</v>
      </c>
      <c r="BL81" s="182"/>
      <c r="BM81" s="182">
        <f>(BL81*$E81*$F81*$G81*$L81*$BM$12)</f>
        <v>0</v>
      </c>
      <c r="BN81" s="182"/>
      <c r="BO81" s="182">
        <f>(BN81*$E81*$F81*$G81*$M81*$BO$12)</f>
        <v>0</v>
      </c>
      <c r="BP81" s="182">
        <v>40</v>
      </c>
      <c r="BQ81" s="182">
        <f t="shared" ref="BQ81" si="311">(BP81/12*11*$E81*$F81*$G81*$M81*$BQ$12)+(BP81/12*$E81*$F81*$G81*$M81*$BQ$14*$BQ$15)</f>
        <v>2833997.1590543203</v>
      </c>
      <c r="BR81" s="182"/>
      <c r="BS81" s="183">
        <f>(BR81*$E81*$F81*$G81*$M81*$BS$12)</f>
        <v>0</v>
      </c>
      <c r="BT81" s="182">
        <v>8</v>
      </c>
      <c r="BU81" s="182">
        <f t="shared" ref="BU81" si="312">(BT81*$E81*$F81*$G81*$M81*$BU$12)/12*10+(BT81*$E81*$F81*$G81*$M81*$BU$13)/12+(BT81*$E81*$F81*$G81*$M81*$BU$13*$BU$15)/12</f>
        <v>587106.85749076481</v>
      </c>
      <c r="BV81" s="182"/>
      <c r="BW81" s="182">
        <f>(BV81*$E81*$F81*$G81*$M81*$BW$12)</f>
        <v>0</v>
      </c>
      <c r="BX81" s="182">
        <v>3</v>
      </c>
      <c r="BY81" s="183">
        <f t="shared" ref="BY81" si="313">(BX81*$E81*$F81*$G81*$M81*$BY$12)/12*11+(BX81*$E81*$F81*$G81*$M81*$BY$12*$BY$15)/12</f>
        <v>266545.66724956798</v>
      </c>
      <c r="BZ81" s="182">
        <v>9</v>
      </c>
      <c r="CA81" s="187">
        <f t="shared" ref="CA81:CA84" si="314">(BZ81*$E81*$F81*$G81*$M81*$CA$12)/12*11+(BZ81*$E81*$F81*$G81*$M81*$CA$12*$CA$15)/12</f>
        <v>774880.31891213998</v>
      </c>
      <c r="CB81" s="182"/>
      <c r="CC81" s="182">
        <f>(CB81*$E81*$F81*$G81*$L81*$CC$12)</f>
        <v>0</v>
      </c>
      <c r="CD81" s="182"/>
      <c r="CE81" s="182">
        <f>(CD81*$E81*$F81*$G81*$L81*$CE$12)</f>
        <v>0</v>
      </c>
      <c r="CF81" s="182"/>
      <c r="CG81" s="182">
        <f>(CF81*$E81*$F81*$G81*$L81*$CG$12)</f>
        <v>0</v>
      </c>
      <c r="CH81" s="182">
        <v>2</v>
      </c>
      <c r="CI81" s="182">
        <f t="shared" ref="CI81" si="315">(CH81*$E81*$F81*$G81*$M81*$CI$12)/12*11+(CH81*$E81*$F81*$G81*$M81*$CI$12*$CI$15)/12</f>
        <v>146833.85269610398</v>
      </c>
      <c r="CJ81" s="182"/>
      <c r="CK81" s="182"/>
      <c r="CL81" s="182"/>
      <c r="CM81" s="183">
        <f>(CL81*$E81*$F81*$G81*$L81*$CM$12)</f>
        <v>0</v>
      </c>
      <c r="CN81" s="182"/>
      <c r="CO81" s="183">
        <f>(CN81*$E81*$F81*$G81*$L81*$CO$12)</f>
        <v>0</v>
      </c>
      <c r="CP81" s="182">
        <v>4</v>
      </c>
      <c r="CQ81" s="182">
        <f>(CP81*$E81*$F81*$G81*$L81*$CQ$12)/12*11+(CP81*$E81*$F81*$G81*$L81*$CQ$12*$CQ$15)/12</f>
        <v>243380.27134848002</v>
      </c>
      <c r="CR81" s="182"/>
      <c r="CS81" s="182">
        <f>(CR81*$E81*$F81*$G81*$L81*$CS$12)</f>
        <v>0</v>
      </c>
      <c r="CT81" s="182"/>
      <c r="CU81" s="182">
        <f>(CT81*$E81*$F81*$G81*$L81*$CU$12)</f>
        <v>0</v>
      </c>
      <c r="CV81" s="182">
        <v>3</v>
      </c>
      <c r="CW81" s="182">
        <v>131756.32</v>
      </c>
      <c r="CX81" s="182">
        <v>2</v>
      </c>
      <c r="CY81" s="182">
        <f t="shared" ref="CY81" si="316">(CX81/12*11*$E81*$F81*$G81*$M81*$CY$12)+(CX81/12*$E81*$F81*$G81*$M81*$CY$15*$CY$12)</f>
        <v>142190.10125409596</v>
      </c>
      <c r="CZ81" s="182"/>
      <c r="DA81" s="182">
        <v>0</v>
      </c>
      <c r="DB81" s="188"/>
      <c r="DC81" s="182">
        <f>(DB81*$E81*$F81*$G81*$M81*$DC$12)</f>
        <v>0</v>
      </c>
      <c r="DD81" s="182"/>
      <c r="DE81" s="187">
        <f t="shared" ref="DE81:DE84" si="317">(DD81*$E81*$F81*$G81*$M81*DE$12)</f>
        <v>0</v>
      </c>
      <c r="DF81" s="182"/>
      <c r="DG81" s="182">
        <f>(DF81*$E81*$F81*$G81*$M81*$DG$12)</f>
        <v>0</v>
      </c>
      <c r="DH81" s="189"/>
      <c r="DI81" s="182">
        <f>(DH81*$E81*$F81*$G81*$M81*$BY$12)</f>
        <v>0</v>
      </c>
      <c r="DJ81" s="182">
        <v>2</v>
      </c>
      <c r="DK81" s="182">
        <f>(DJ81/12*11*$E81*$F81*$G81*$M81*$DK$12)+(DJ81/12*1*$E81*$F81*$M81*$G81*$DK$12*$DK$15)</f>
        <v>143573.76219115997</v>
      </c>
      <c r="DL81" s="182"/>
      <c r="DM81" s="182">
        <f>(DL81*$E81*$F81*$G81*$N81*$DM$12)</f>
        <v>0</v>
      </c>
      <c r="DN81" s="182">
        <f>ROUND(2*0.75,0)</f>
        <v>2</v>
      </c>
      <c r="DO81" s="190">
        <f>(DN81*$E81*$F81*$G81*$O81*$DO$12)</f>
        <v>201555.7966</v>
      </c>
      <c r="DP81" s="187"/>
      <c r="DQ81" s="187"/>
      <c r="DR81" s="183">
        <f t="shared" ref="DR81:DS84" si="318">SUM(P81,R81,T81,V81,AB81,AJ81,AD81,AF81,AH81,AL81,AN81,AP81,AV81,AZ81,BB81,CF81,AR81,BF81,BH81,BJ81,CT81,BL81,BN81,AT81,BR81,AX81,CV81,BT81,CX81,BV81,BX81,BZ81,CH81,CB81,CD81,CJ81,CL81,CN81,CP81,CR81,CZ81,DB81,BP81,BD81,DD81,DF81,DH81,DJ81,DL81,DN81,DP81)</f>
        <v>337</v>
      </c>
      <c r="DS81" s="183">
        <f t="shared" si="318"/>
        <v>23676825.387924641</v>
      </c>
      <c r="DT81" s="182">
        <v>337</v>
      </c>
      <c r="DU81" s="182">
        <v>23096412.058839995</v>
      </c>
      <c r="DV81" s="167">
        <f t="shared" ref="DV81:DW144" si="319">DR81-DT81</f>
        <v>0</v>
      </c>
      <c r="DW81" s="167">
        <f t="shared" si="319"/>
        <v>580413.32908464596</v>
      </c>
    </row>
    <row r="82" spans="1:127" ht="15.75" customHeight="1" x14ac:dyDescent="0.25">
      <c r="A82" s="154"/>
      <c r="B82" s="176">
        <v>56</v>
      </c>
      <c r="C82" s="177" t="s">
        <v>257</v>
      </c>
      <c r="D82" s="210" t="s">
        <v>258</v>
      </c>
      <c r="E82" s="158">
        <v>25969</v>
      </c>
      <c r="F82" s="179">
        <v>2.2599999999999998</v>
      </c>
      <c r="G82" s="168">
        <v>1</v>
      </c>
      <c r="H82" s="169">
        <v>1.4</v>
      </c>
      <c r="I82" s="169"/>
      <c r="J82" s="169"/>
      <c r="K82" s="106"/>
      <c r="L82" s="180">
        <v>1.4</v>
      </c>
      <c r="M82" s="180">
        <v>1.68</v>
      </c>
      <c r="N82" s="180">
        <v>2.23</v>
      </c>
      <c r="O82" s="181">
        <v>2.57</v>
      </c>
      <c r="P82" s="182"/>
      <c r="Q82" s="182">
        <f>(P82*$E82*$F82*$G82*$L82*$Q$12)</f>
        <v>0</v>
      </c>
      <c r="R82" s="182"/>
      <c r="S82" s="182">
        <f>(R82*$E82*$F82*$G82*$L82*$S$12)</f>
        <v>0</v>
      </c>
      <c r="T82" s="182">
        <f>80+10</f>
        <v>90</v>
      </c>
      <c r="U82" s="182">
        <f t="shared" ref="U82:U83" si="320">(T82/12*11*$E82*$F82*$G82*$L82*$U$12)+(T82/12*1*$E82*$F82*$H82*$L82*$U$14)</f>
        <v>9681199.052699998</v>
      </c>
      <c r="V82" s="182"/>
      <c r="W82" s="183">
        <f>(V82*$E82*$F82*$G82*$L82*$W$12)</f>
        <v>0</v>
      </c>
      <c r="X82" s="183"/>
      <c r="Y82" s="183">
        <v>0</v>
      </c>
      <c r="Z82" s="183"/>
      <c r="AA82" s="183">
        <v>0</v>
      </c>
      <c r="AB82" s="182">
        <f t="shared" si="309"/>
        <v>0</v>
      </c>
      <c r="AC82" s="182">
        <f t="shared" si="309"/>
        <v>0</v>
      </c>
      <c r="AD82" s="182"/>
      <c r="AE82" s="182">
        <f>(AD82*$E82*$F82*$G82*$L82*$AE$12)</f>
        <v>0</v>
      </c>
      <c r="AF82" s="182"/>
      <c r="AG82" s="182"/>
      <c r="AH82" s="182"/>
      <c r="AI82" s="182">
        <f>(AH82*$E82*$F82*$G82*$L82*$AI$12)</f>
        <v>0</v>
      </c>
      <c r="AJ82" s="182"/>
      <c r="AK82" s="182"/>
      <c r="AL82" s="182"/>
      <c r="AM82" s="182"/>
      <c r="AN82" s="184"/>
      <c r="AO82" s="182">
        <f>(AN82*$E82*$F82*$G82*$L82*$AO$12)</f>
        <v>0</v>
      </c>
      <c r="AP82" s="182"/>
      <c r="AQ82" s="183">
        <f>(AP82*$E82*$F82*$G82*$L82*$AQ$12)</f>
        <v>0</v>
      </c>
      <c r="AR82" s="182"/>
      <c r="AS82" s="182">
        <f t="shared" si="310"/>
        <v>0</v>
      </c>
      <c r="AT82" s="182"/>
      <c r="AU82" s="182">
        <f>(AT82*$E82*$F82*$G82*$M82*$AU$12)</f>
        <v>0</v>
      </c>
      <c r="AV82" s="188"/>
      <c r="AW82" s="182">
        <f>(AV82*$E82*$F82*$G82*$M82*$AW$12)</f>
        <v>0</v>
      </c>
      <c r="AX82" s="182"/>
      <c r="AY82" s="187">
        <f>(AX82*$E82*$F82*$G82*$M82*$AY$12)</f>
        <v>0</v>
      </c>
      <c r="AZ82" s="182"/>
      <c r="BA82" s="182">
        <f>(AZ82*$E82*$F82*$G82*$L82*$BA$12)</f>
        <v>0</v>
      </c>
      <c r="BB82" s="182"/>
      <c r="BC82" s="182">
        <f>(BB82*$E82*$F82*$G82*$L82*$BC$12)</f>
        <v>0</v>
      </c>
      <c r="BD82" s="182"/>
      <c r="BE82" s="182">
        <f>(BD82*$E82*$F82*$G82*$L82*$BE$12)</f>
        <v>0</v>
      </c>
      <c r="BF82" s="182"/>
      <c r="BG82" s="182">
        <f>(BF82*$E82*$F82*$G82*$L82*$BG$12)</f>
        <v>0</v>
      </c>
      <c r="BH82" s="182"/>
      <c r="BI82" s="183">
        <f>(BH82*$E82*$F82*$G82*$L82*$BI$12)</f>
        <v>0</v>
      </c>
      <c r="BJ82" s="182"/>
      <c r="BK82" s="183">
        <f>(BJ82*$E82*$F82*$G82*$L82*$BK$12)</f>
        <v>0</v>
      </c>
      <c r="BL82" s="182"/>
      <c r="BM82" s="182">
        <f>(BL82*$E82*$F82*$G82*$L82*$BM$12)</f>
        <v>0</v>
      </c>
      <c r="BN82" s="182"/>
      <c r="BO82" s="182">
        <f>(BN82*$E82*$F82*$G82*$M82*$BO$12)</f>
        <v>0</v>
      </c>
      <c r="BP82" s="182"/>
      <c r="BQ82" s="182">
        <f>(BP82*$E82*$F82*$G82*$M82*$BQ$12)</f>
        <v>0</v>
      </c>
      <c r="BR82" s="182"/>
      <c r="BS82" s="183">
        <f>(BR82*$E82*$F82*$G82*$M82*$BS$12)</f>
        <v>0</v>
      </c>
      <c r="BT82" s="182"/>
      <c r="BU82" s="182">
        <f>(BT82*$E82*$F82*$G82*$M82*$BU$12)</f>
        <v>0</v>
      </c>
      <c r="BV82" s="182"/>
      <c r="BW82" s="182">
        <f>(BV82*$E82*$F82*$G82*$M82*$BW$12)</f>
        <v>0</v>
      </c>
      <c r="BX82" s="182"/>
      <c r="BY82" s="183">
        <f>(BX82*$E82*$F82*$G82*$M82*$BY$12)</f>
        <v>0</v>
      </c>
      <c r="BZ82" s="182"/>
      <c r="CA82" s="187">
        <f t="shared" si="314"/>
        <v>0</v>
      </c>
      <c r="CB82" s="182"/>
      <c r="CC82" s="182">
        <f>(CB82*$E82*$F82*$G82*$L82*$CC$12)</f>
        <v>0</v>
      </c>
      <c r="CD82" s="182"/>
      <c r="CE82" s="182">
        <f>(CD82*$E82*$F82*$G82*$L82*$CE$12)</f>
        <v>0</v>
      </c>
      <c r="CF82" s="182"/>
      <c r="CG82" s="182">
        <f>(CF82*$E82*$F82*$G82*$L82*$CG$12)</f>
        <v>0</v>
      </c>
      <c r="CH82" s="182"/>
      <c r="CI82" s="182">
        <f>(CH82/12*11*$E82*$F82*$G82*$M82*$CI$12)+(CH82/12*1*$E82*$F82*$H82*$M82*$CI$12)</f>
        <v>0</v>
      </c>
      <c r="CJ82" s="182"/>
      <c r="CK82" s="182"/>
      <c r="CL82" s="182"/>
      <c r="CM82" s="183">
        <f>(CL82*$E82*$F82*$G82*$L82*$CM$12)</f>
        <v>0</v>
      </c>
      <c r="CN82" s="182"/>
      <c r="CO82" s="183">
        <f>(CN82*$E82*$F82*$G82*$L82*$CO$12)</f>
        <v>0</v>
      </c>
      <c r="CP82" s="182"/>
      <c r="CQ82" s="182">
        <f>(CP82*$E82*$F82*$G82*$L82*$CQ$12)</f>
        <v>0</v>
      </c>
      <c r="CR82" s="182"/>
      <c r="CS82" s="182">
        <f>(CR82*$E82*$F82*$G82*$L82*$CS$12)</f>
        <v>0</v>
      </c>
      <c r="CT82" s="182"/>
      <c r="CU82" s="182">
        <f>(CT82*$E82*$F82*$G82*$L82*$CU$12)</f>
        <v>0</v>
      </c>
      <c r="CV82" s="182"/>
      <c r="CW82" s="182">
        <v>0</v>
      </c>
      <c r="CX82" s="182"/>
      <c r="CY82" s="182">
        <f>(CX82*$E82*$F82*$G82*$M82*$CY$12)</f>
        <v>0</v>
      </c>
      <c r="CZ82" s="182"/>
      <c r="DA82" s="182">
        <v>0</v>
      </c>
      <c r="DB82" s="188"/>
      <c r="DC82" s="182">
        <f>(DB82*$E82*$F82*$G82*$M82*$DC$12)</f>
        <v>0</v>
      </c>
      <c r="DD82" s="182"/>
      <c r="DE82" s="187">
        <f t="shared" si="317"/>
        <v>0</v>
      </c>
      <c r="DF82" s="182"/>
      <c r="DG82" s="182">
        <f>(DF82*$E82*$F82*$G82*$M82*$DG$12)</f>
        <v>0</v>
      </c>
      <c r="DH82" s="189"/>
      <c r="DI82" s="182">
        <f>(DH82*$E82*$F82*$G82*$M82*$BY$12)</f>
        <v>0</v>
      </c>
      <c r="DJ82" s="182"/>
      <c r="DK82" s="182">
        <f>(DJ82*$E82*$F82*$G82*$M82*$DK$12)</f>
        <v>0</v>
      </c>
      <c r="DL82" s="182"/>
      <c r="DM82" s="182">
        <f>(DL82*$E82*$F82*$G82*$N82*$DM$12)</f>
        <v>0</v>
      </c>
      <c r="DN82" s="182"/>
      <c r="DO82" s="190">
        <f>(DN82*$E82*$F82*$G82*$O82*$DO$12)</f>
        <v>0</v>
      </c>
      <c r="DP82" s="187"/>
      <c r="DQ82" s="187"/>
      <c r="DR82" s="183">
        <f t="shared" si="318"/>
        <v>90</v>
      </c>
      <c r="DS82" s="183">
        <f t="shared" si="318"/>
        <v>9681199.052699998</v>
      </c>
      <c r="DT82" s="182">
        <v>90</v>
      </c>
      <c r="DU82" s="182">
        <v>9243665.5499999989</v>
      </c>
      <c r="DV82" s="167">
        <f t="shared" si="319"/>
        <v>0</v>
      </c>
      <c r="DW82" s="167">
        <f t="shared" si="319"/>
        <v>437533.50269999914</v>
      </c>
    </row>
    <row r="83" spans="1:127" ht="30" customHeight="1" x14ac:dyDescent="0.25">
      <c r="A83" s="154"/>
      <c r="B83" s="176">
        <v>57</v>
      </c>
      <c r="C83" s="177" t="s">
        <v>259</v>
      </c>
      <c r="D83" s="210" t="s">
        <v>260</v>
      </c>
      <c r="E83" s="158">
        <v>25969</v>
      </c>
      <c r="F83" s="179">
        <v>1.38</v>
      </c>
      <c r="G83" s="168">
        <v>1</v>
      </c>
      <c r="H83" s="169">
        <v>1.4</v>
      </c>
      <c r="I83" s="169"/>
      <c r="J83" s="169"/>
      <c r="K83" s="106"/>
      <c r="L83" s="180">
        <v>1.4</v>
      </c>
      <c r="M83" s="180">
        <v>1.68</v>
      </c>
      <c r="N83" s="180">
        <v>2.23</v>
      </c>
      <c r="O83" s="181">
        <v>2.57</v>
      </c>
      <c r="P83" s="182"/>
      <c r="Q83" s="182">
        <f>(P83*$E83*$F83*$G83*$L83*$Q$12)</f>
        <v>0</v>
      </c>
      <c r="R83" s="182"/>
      <c r="S83" s="182">
        <f>(R83*$E83*$F83*$G83*$L83*$S$12)</f>
        <v>0</v>
      </c>
      <c r="T83" s="182">
        <f>135+11</f>
        <v>146</v>
      </c>
      <c r="U83" s="182">
        <f t="shared" si="320"/>
        <v>9589813.1029399987</v>
      </c>
      <c r="V83" s="182"/>
      <c r="W83" s="183">
        <f>(V83*$E83*$F83*$G83*$L83*$W$12)</f>
        <v>0</v>
      </c>
      <c r="X83" s="183"/>
      <c r="Y83" s="183">
        <v>0</v>
      </c>
      <c r="Z83" s="183"/>
      <c r="AA83" s="183">
        <v>0</v>
      </c>
      <c r="AB83" s="182">
        <f t="shared" si="309"/>
        <v>0</v>
      </c>
      <c r="AC83" s="182">
        <f t="shared" si="309"/>
        <v>0</v>
      </c>
      <c r="AD83" s="182"/>
      <c r="AE83" s="182">
        <f>(AD83*$E83*$F83*$G83*$L83*$AE$12)</f>
        <v>0</v>
      </c>
      <c r="AF83" s="182"/>
      <c r="AG83" s="182"/>
      <c r="AH83" s="182"/>
      <c r="AI83" s="182">
        <f>(AH83*$E83*$F83*$G83*$L83*$AI$12)</f>
        <v>0</v>
      </c>
      <c r="AJ83" s="182"/>
      <c r="AK83" s="182"/>
      <c r="AL83" s="182"/>
      <c r="AM83" s="182"/>
      <c r="AN83" s="184"/>
      <c r="AO83" s="182">
        <f>(AN83*$E83*$F83*$G83*$L83*$AO$12)</f>
        <v>0</v>
      </c>
      <c r="AP83" s="182"/>
      <c r="AQ83" s="183">
        <f>(AP83*$E83*$F83*$G83*$L83*$AQ$12)</f>
        <v>0</v>
      </c>
      <c r="AR83" s="182"/>
      <c r="AS83" s="182">
        <f t="shared" si="310"/>
        <v>0</v>
      </c>
      <c r="AT83" s="182"/>
      <c r="AU83" s="182">
        <f>(AT83*$E83*$F83*$G83*$M83*$AU$12)</f>
        <v>0</v>
      </c>
      <c r="AV83" s="188"/>
      <c r="AW83" s="182">
        <f>(AV83*$E83*$F83*$G83*$M83*$AW$12)</f>
        <v>0</v>
      </c>
      <c r="AX83" s="182"/>
      <c r="AY83" s="187">
        <f>(AX83*$E83*$F83*$G83*$M83*$AY$12)</f>
        <v>0</v>
      </c>
      <c r="AZ83" s="182"/>
      <c r="BA83" s="182">
        <f>(AZ83*$E83*$F83*$G83*$L83*$BA$12)</f>
        <v>0</v>
      </c>
      <c r="BB83" s="182"/>
      <c r="BC83" s="182">
        <f>(BB83*$E83*$F83*$G83*$L83*$BC$12)</f>
        <v>0</v>
      </c>
      <c r="BD83" s="182"/>
      <c r="BE83" s="182">
        <f>(BD83*$E83*$F83*$G83*$L83*$BE$12)</f>
        <v>0</v>
      </c>
      <c r="BF83" s="182"/>
      <c r="BG83" s="182">
        <f>(BF83*$E83*$F83*$G83*$L83*$BG$12)</f>
        <v>0</v>
      </c>
      <c r="BH83" s="182"/>
      <c r="BI83" s="183">
        <f>(BH83*$E83*$F83*$G83*$L83*$BI$12)</f>
        <v>0</v>
      </c>
      <c r="BJ83" s="182"/>
      <c r="BK83" s="183">
        <f>(BJ83*$E83*$F83*$G83*$L83*$BK$12)</f>
        <v>0</v>
      </c>
      <c r="BL83" s="182"/>
      <c r="BM83" s="182">
        <f>(BL83*$E83*$F83*$G83*$L83*$BM$12)</f>
        <v>0</v>
      </c>
      <c r="BN83" s="182"/>
      <c r="BO83" s="182">
        <f>(BN83*$E83*$F83*$G83*$M83*$BO$12)</f>
        <v>0</v>
      </c>
      <c r="BP83" s="182"/>
      <c r="BQ83" s="182">
        <f>(BP83*$E83*$F83*$G83*$M83*$BQ$12)</f>
        <v>0</v>
      </c>
      <c r="BR83" s="182"/>
      <c r="BS83" s="183">
        <f>(BR83*$E83*$F83*$G83*$M83*$BS$12)</f>
        <v>0</v>
      </c>
      <c r="BT83" s="182"/>
      <c r="BU83" s="182">
        <f>(BT83*$E83*$F83*$G83*$M83*$BU$12)</f>
        <v>0</v>
      </c>
      <c r="BV83" s="182"/>
      <c r="BW83" s="182">
        <f>(BV83*$E83*$F83*$G83*$M83*$BW$12)</f>
        <v>0</v>
      </c>
      <c r="BX83" s="182"/>
      <c r="BY83" s="183">
        <f>(BX83*$E83*$F83*$G83*$M83*$BY$12)</f>
        <v>0</v>
      </c>
      <c r="BZ83" s="182">
        <v>1</v>
      </c>
      <c r="CA83" s="187">
        <f t="shared" ref="CA83" si="321">(BZ83/12*11*$E83*$F83*$G83*$M83*$CA$12)+(BZ83/12*1*$E83*$F83*$H83*$M83*$CA$12*$CA$15)</f>
        <v>83668.713152471973</v>
      </c>
      <c r="CB83" s="182"/>
      <c r="CC83" s="182">
        <f>(CB83*$E83*$F83*$G83*$L83*$CC$12)</f>
        <v>0</v>
      </c>
      <c r="CD83" s="182"/>
      <c r="CE83" s="182">
        <f>(CD83*$E83*$F83*$G83*$L83*$CE$12)</f>
        <v>0</v>
      </c>
      <c r="CF83" s="182"/>
      <c r="CG83" s="182">
        <f>(CF83*$E83*$F83*$G83*$L83*$CG$12)</f>
        <v>0</v>
      </c>
      <c r="CH83" s="182">
        <v>1</v>
      </c>
      <c r="CI83" s="182">
        <f t="shared" ref="CI83" si="322">(CH83/12*11*$E83*$F83*$G83*$M83*$CI$12)+(CH83/12*1*$E83*$F83*$H83*$M83*$CI$12*$CI$15)</f>
        <v>71859.041820686383</v>
      </c>
      <c r="CJ83" s="182"/>
      <c r="CK83" s="182"/>
      <c r="CL83" s="182"/>
      <c r="CM83" s="183">
        <f>(CL83*$E83*$F83*$G83*$L83*$CM$12)</f>
        <v>0</v>
      </c>
      <c r="CN83" s="182"/>
      <c r="CO83" s="183">
        <f>(CN83*$E83*$F83*$G83*$L83*$CO$12)</f>
        <v>0</v>
      </c>
      <c r="CP83" s="182"/>
      <c r="CQ83" s="182">
        <f>(CP83*$E83*$F83*$G83*$L83*$CQ$12)</f>
        <v>0</v>
      </c>
      <c r="CR83" s="182"/>
      <c r="CS83" s="182">
        <f>(CR83*$E83*$F83*$G83*$L83*$CS$12)</f>
        <v>0</v>
      </c>
      <c r="CT83" s="182"/>
      <c r="CU83" s="182">
        <f>(CT83*$E83*$F83*$G83*$L83*$CU$12)</f>
        <v>0</v>
      </c>
      <c r="CV83" s="182"/>
      <c r="CW83" s="182">
        <v>0</v>
      </c>
      <c r="CX83" s="182"/>
      <c r="CY83" s="182">
        <f>(CX83*$E83*$F83*$G83*$M83*$CY$12)</f>
        <v>0</v>
      </c>
      <c r="CZ83" s="182"/>
      <c r="DA83" s="182">
        <v>0</v>
      </c>
      <c r="DB83" s="188"/>
      <c r="DC83" s="182">
        <f>(DB83*$E83*$F83*$G83*$M83*$DC$12)</f>
        <v>0</v>
      </c>
      <c r="DD83" s="182"/>
      <c r="DE83" s="187">
        <f t="shared" si="317"/>
        <v>0</v>
      </c>
      <c r="DF83" s="182"/>
      <c r="DG83" s="182">
        <f>(DF83*$E83*$F83*$G83*$M83*$DG$12)</f>
        <v>0</v>
      </c>
      <c r="DH83" s="189"/>
      <c r="DI83" s="182">
        <f>(DH83*$E83*$F83*$G83*$M83*$BY$12)</f>
        <v>0</v>
      </c>
      <c r="DJ83" s="182"/>
      <c r="DK83" s="182">
        <f>(DJ83*$E83*$F83*$G83*$M83*$DK$12)</f>
        <v>0</v>
      </c>
      <c r="DL83" s="182"/>
      <c r="DM83" s="182">
        <f>(DL83*$E83*$F83*$G83*$N83*$DM$12)</f>
        <v>0</v>
      </c>
      <c r="DN83" s="182"/>
      <c r="DO83" s="190">
        <f>(DN83*$E83*$F83*$G83*$O83*$DO$12)</f>
        <v>0</v>
      </c>
      <c r="DP83" s="182"/>
      <c r="DQ83" s="182"/>
      <c r="DR83" s="183">
        <f t="shared" si="318"/>
        <v>148</v>
      </c>
      <c r="DS83" s="183">
        <f t="shared" si="318"/>
        <v>9745340.857913157</v>
      </c>
      <c r="DT83" s="182">
        <v>148</v>
      </c>
      <c r="DU83" s="182">
        <v>9288864.0751199964</v>
      </c>
      <c r="DV83" s="167">
        <f t="shared" si="319"/>
        <v>0</v>
      </c>
      <c r="DW83" s="167">
        <f t="shared" si="319"/>
        <v>456476.78279316053</v>
      </c>
    </row>
    <row r="84" spans="1:127" ht="30" customHeight="1" x14ac:dyDescent="0.25">
      <c r="A84" s="154"/>
      <c r="B84" s="176">
        <v>58</v>
      </c>
      <c r="C84" s="177" t="s">
        <v>261</v>
      </c>
      <c r="D84" s="210" t="s">
        <v>262</v>
      </c>
      <c r="E84" s="158">
        <v>25969</v>
      </c>
      <c r="F84" s="179">
        <v>2.82</v>
      </c>
      <c r="G84" s="168">
        <v>1</v>
      </c>
      <c r="H84" s="169"/>
      <c r="I84" s="169"/>
      <c r="J84" s="169"/>
      <c r="K84" s="106"/>
      <c r="L84" s="180">
        <v>1.4</v>
      </c>
      <c r="M84" s="180">
        <v>1.68</v>
      </c>
      <c r="N84" s="180">
        <v>2.23</v>
      </c>
      <c r="O84" s="181">
        <v>2.57</v>
      </c>
      <c r="P84" s="182"/>
      <c r="Q84" s="182">
        <f>(P84*$E84*$F84*$G84*$L84*$Q$12)</f>
        <v>0</v>
      </c>
      <c r="R84" s="182"/>
      <c r="S84" s="182">
        <f>(R84*$E84*$F84*$G84*$L84*$S$12)</f>
        <v>0</v>
      </c>
      <c r="T84" s="182">
        <f>26+3</f>
        <v>29</v>
      </c>
      <c r="U84" s="182">
        <f t="shared" si="308"/>
        <v>3753718.969349999</v>
      </c>
      <c r="V84" s="182"/>
      <c r="W84" s="183">
        <f>(V84*$E84*$F84*$G84*$L84*$W$12)/12*10+(V84*$E84*$F84*$G84*$L84*$W$13)/12*1++(V84*$E84*$F84*$G84*$L84*$W$14)/12*1</f>
        <v>0</v>
      </c>
      <c r="X84" s="183"/>
      <c r="Y84" s="183">
        <v>0</v>
      </c>
      <c r="Z84" s="183"/>
      <c r="AA84" s="183">
        <v>0</v>
      </c>
      <c r="AB84" s="182">
        <f t="shared" si="309"/>
        <v>0</v>
      </c>
      <c r="AC84" s="182">
        <f t="shared" si="309"/>
        <v>0</v>
      </c>
      <c r="AD84" s="182"/>
      <c r="AE84" s="182">
        <f>(AD84*$E84*$F84*$G84*$L84*$AE$12)</f>
        <v>0</v>
      </c>
      <c r="AF84" s="182"/>
      <c r="AG84" s="182"/>
      <c r="AH84" s="182"/>
      <c r="AI84" s="182">
        <f>(AH84*$E84*$F84*$G84*$L84*$AI$12)</f>
        <v>0</v>
      </c>
      <c r="AJ84" s="182"/>
      <c r="AK84" s="182"/>
      <c r="AL84" s="182"/>
      <c r="AM84" s="182"/>
      <c r="AN84" s="184"/>
      <c r="AO84" s="182">
        <f>(AN84*$E84*$F84*$G84*$L84*$AO$12)</f>
        <v>0</v>
      </c>
      <c r="AP84" s="182"/>
      <c r="AQ84" s="183">
        <f>(AP84*$E84*$F84*$G84*$L84*$AQ$12)</f>
        <v>0</v>
      </c>
      <c r="AR84" s="182"/>
      <c r="AS84" s="182">
        <f t="shared" si="310"/>
        <v>0</v>
      </c>
      <c r="AT84" s="182"/>
      <c r="AU84" s="182">
        <f>(AT84*$E84*$F84*$G84*$M84*$AU$12)</f>
        <v>0</v>
      </c>
      <c r="AV84" s="188"/>
      <c r="AW84" s="182">
        <f>(AV84*$E84*$F84*$G84*$M84*$AW$12)</f>
        <v>0</v>
      </c>
      <c r="AX84" s="182"/>
      <c r="AY84" s="187">
        <f>(AX84*$E84*$F84*$G84*$M84*$AY$12)</f>
        <v>0</v>
      </c>
      <c r="AZ84" s="182"/>
      <c r="BA84" s="182">
        <f>(AZ84*$E84*$F84*$G84*$L84*$BA$12)</f>
        <v>0</v>
      </c>
      <c r="BB84" s="182"/>
      <c r="BC84" s="182">
        <f>(BB84*$E84*$F84*$G84*$L84*$BC$12)</f>
        <v>0</v>
      </c>
      <c r="BD84" s="182"/>
      <c r="BE84" s="182">
        <f>(BD84*$E84*$F84*$G84*$L84*$BE$12)</f>
        <v>0</v>
      </c>
      <c r="BF84" s="182"/>
      <c r="BG84" s="182">
        <f>(BF84*$E84*$F84*$G84*$L84*$BG$12)</f>
        <v>0</v>
      </c>
      <c r="BH84" s="182"/>
      <c r="BI84" s="183">
        <f>(BH84*$E84*$F84*$G84*$L84*$BI$12)</f>
        <v>0</v>
      </c>
      <c r="BJ84" s="182"/>
      <c r="BK84" s="183">
        <f>(BJ84*$E84*$F84*$G84*$L84*$BK$12)</f>
        <v>0</v>
      </c>
      <c r="BL84" s="182"/>
      <c r="BM84" s="182">
        <f>(BL84*$E84*$F84*$G84*$L84*$BM$12)</f>
        <v>0</v>
      </c>
      <c r="BN84" s="182"/>
      <c r="BO84" s="182">
        <f>(BN84*$E84*$F84*$G84*$M84*$BO$12)</f>
        <v>0</v>
      </c>
      <c r="BP84" s="182"/>
      <c r="BQ84" s="182">
        <f>(BP84*$E84*$F84*$G84*$M84*$BQ$12)</f>
        <v>0</v>
      </c>
      <c r="BR84" s="182"/>
      <c r="BS84" s="183">
        <f>(BR84*$E84*$F84*$G84*$M84*$BS$12)</f>
        <v>0</v>
      </c>
      <c r="BT84" s="182"/>
      <c r="BU84" s="182">
        <f>(BT84*$E84*$F84*$G84*$M84*$BU$12)</f>
        <v>0</v>
      </c>
      <c r="BV84" s="182">
        <v>1</v>
      </c>
      <c r="BW84" s="182">
        <f>(BV84*$E84*$F84*$G84*$M84*$BW$12)</f>
        <v>110727.66096000001</v>
      </c>
      <c r="BX84" s="182"/>
      <c r="BY84" s="183">
        <f>(BX84*$E84*$F84*$G84*$M84*$BY$12)</f>
        <v>0</v>
      </c>
      <c r="BZ84" s="182">
        <v>1</v>
      </c>
      <c r="CA84" s="187">
        <f t="shared" si="314"/>
        <v>160791.94255571999</v>
      </c>
      <c r="CB84" s="182"/>
      <c r="CC84" s="182">
        <f>(CB84*$E84*$F84*$G84*$L84*$CC$12)</f>
        <v>0</v>
      </c>
      <c r="CD84" s="182"/>
      <c r="CE84" s="182">
        <f>(CD84*$E84*$F84*$G84*$L84*$CE$12)</f>
        <v>0</v>
      </c>
      <c r="CF84" s="182"/>
      <c r="CG84" s="182">
        <f>(CF84*$E84*$F84*$G84*$L84*$CG$12)</f>
        <v>0</v>
      </c>
      <c r="CH84" s="182"/>
      <c r="CI84" s="182">
        <f>(CH84*$E84*$F84*$G84*$M84*$CI$12)</f>
        <v>0</v>
      </c>
      <c r="CJ84" s="182"/>
      <c r="CK84" s="182"/>
      <c r="CL84" s="182"/>
      <c r="CM84" s="183">
        <f>(CL84*$E84*$F84*$G84*$L84*$CM$12)</f>
        <v>0</v>
      </c>
      <c r="CN84" s="182"/>
      <c r="CO84" s="183">
        <f>(CN84*$E84*$F84*$G84*$L84*$CO$12)</f>
        <v>0</v>
      </c>
      <c r="CP84" s="182"/>
      <c r="CQ84" s="182">
        <f>(CP84*$E84*$F84*$G84*$L84*$CQ$12)</f>
        <v>0</v>
      </c>
      <c r="CR84" s="182"/>
      <c r="CS84" s="182">
        <f>(CR84*$E84*$F84*$G84*$L84*$CS$12)</f>
        <v>0</v>
      </c>
      <c r="CT84" s="182"/>
      <c r="CU84" s="182">
        <f>(CT84*$E84*$F84*$G84*$L84*$CU$12)</f>
        <v>0</v>
      </c>
      <c r="CV84" s="182"/>
      <c r="CW84" s="182">
        <v>0</v>
      </c>
      <c r="CX84" s="182"/>
      <c r="CY84" s="182">
        <f>(CX84*$E84*$F84*$G84*$M84*$CY$12)</f>
        <v>0</v>
      </c>
      <c r="CZ84" s="182"/>
      <c r="DA84" s="182">
        <v>0</v>
      </c>
      <c r="DB84" s="188"/>
      <c r="DC84" s="182">
        <f>(DB84*$E84*$F84*$G84*$M84*$DC$12)</f>
        <v>0</v>
      </c>
      <c r="DD84" s="182"/>
      <c r="DE84" s="187">
        <f t="shared" si="317"/>
        <v>0</v>
      </c>
      <c r="DF84" s="182"/>
      <c r="DG84" s="182">
        <f>(DF84*$E84*$F84*$G84*$M84*$DG$12)</f>
        <v>0</v>
      </c>
      <c r="DH84" s="189"/>
      <c r="DI84" s="182">
        <f>(DH84*$E84*$F84*$G84*$M84*$BY$12)</f>
        <v>0</v>
      </c>
      <c r="DJ84" s="182"/>
      <c r="DK84" s="182">
        <f>(DJ84*$E84*$F84*$G84*$M84*$DK$12)</f>
        <v>0</v>
      </c>
      <c r="DL84" s="182"/>
      <c r="DM84" s="182">
        <f>(DL84*$E84*$F84*$G84*$N84*$DM$12)</f>
        <v>0</v>
      </c>
      <c r="DN84" s="182"/>
      <c r="DO84" s="190">
        <f>(DN84*$E84*$F84*$G84*$O84*$DO$12)</f>
        <v>0</v>
      </c>
      <c r="DP84" s="182"/>
      <c r="DQ84" s="182"/>
      <c r="DR84" s="183">
        <f t="shared" si="318"/>
        <v>31</v>
      </c>
      <c r="DS84" s="183">
        <f t="shared" si="318"/>
        <v>4025238.572865719</v>
      </c>
      <c r="DT84" s="182">
        <v>31</v>
      </c>
      <c r="DU84" s="182">
        <v>3974917.9772399995</v>
      </c>
      <c r="DV84" s="167">
        <f t="shared" si="319"/>
        <v>0</v>
      </c>
      <c r="DW84" s="167">
        <f t="shared" si="319"/>
        <v>50320.595625719521</v>
      </c>
    </row>
    <row r="85" spans="1:127" ht="15.75" customHeight="1" x14ac:dyDescent="0.25">
      <c r="A85" s="170">
        <v>12</v>
      </c>
      <c r="B85" s="197"/>
      <c r="C85" s="198"/>
      <c r="D85" s="211" t="s">
        <v>263</v>
      </c>
      <c r="E85" s="158">
        <v>25969</v>
      </c>
      <c r="F85" s="199">
        <v>0.65</v>
      </c>
      <c r="G85" s="171"/>
      <c r="H85" s="169"/>
      <c r="I85" s="169"/>
      <c r="J85" s="169"/>
      <c r="K85" s="173"/>
      <c r="L85" s="174">
        <v>1.4</v>
      </c>
      <c r="M85" s="174">
        <v>1.68</v>
      </c>
      <c r="N85" s="174">
        <v>2.23</v>
      </c>
      <c r="O85" s="175">
        <v>2.57</v>
      </c>
      <c r="P85" s="212">
        <f t="shared" ref="P85:AD85" si="323">SUM(P86:P104)</f>
        <v>74</v>
      </c>
      <c r="Q85" s="212">
        <f t="shared" si="323"/>
        <v>3730478.0128000001</v>
      </c>
      <c r="R85" s="166">
        <f t="shared" si="323"/>
        <v>14</v>
      </c>
      <c r="S85" s="166">
        <f t="shared" si="323"/>
        <v>1609706.226133984</v>
      </c>
      <c r="T85" s="166">
        <f t="shared" si="323"/>
        <v>3104</v>
      </c>
      <c r="U85" s="166">
        <f t="shared" si="323"/>
        <v>101756248.84717971</v>
      </c>
      <c r="V85" s="166">
        <f t="shared" si="323"/>
        <v>0</v>
      </c>
      <c r="W85" s="166">
        <f t="shared" si="323"/>
        <v>0</v>
      </c>
      <c r="X85" s="166">
        <v>0</v>
      </c>
      <c r="Y85" s="166">
        <v>0</v>
      </c>
      <c r="Z85" s="166">
        <v>0</v>
      </c>
      <c r="AA85" s="166">
        <v>0</v>
      </c>
      <c r="AB85" s="166">
        <f t="shared" si="323"/>
        <v>0</v>
      </c>
      <c r="AC85" s="166">
        <f>SUM(AC86:AC104)</f>
        <v>0</v>
      </c>
      <c r="AD85" s="166">
        <f t="shared" si="323"/>
        <v>0</v>
      </c>
      <c r="AE85" s="166">
        <f>SUM(AE86:AE104)</f>
        <v>0</v>
      </c>
      <c r="AF85" s="166">
        <f t="shared" ref="AF85:CQ85" si="324">SUM(AF86:AF104)</f>
        <v>0</v>
      </c>
      <c r="AG85" s="166">
        <f t="shared" si="324"/>
        <v>0</v>
      </c>
      <c r="AH85" s="166">
        <f t="shared" si="324"/>
        <v>54</v>
      </c>
      <c r="AI85" s="166">
        <f t="shared" si="324"/>
        <v>4104805.5664000004</v>
      </c>
      <c r="AJ85" s="166">
        <f>SUM(AJ86:AJ104)</f>
        <v>0</v>
      </c>
      <c r="AK85" s="166">
        <f>SUM(AK86:AK104)</f>
        <v>0</v>
      </c>
      <c r="AL85" s="166">
        <f t="shared" si="324"/>
        <v>0</v>
      </c>
      <c r="AM85" s="166">
        <f t="shared" si="324"/>
        <v>0</v>
      </c>
      <c r="AN85" s="166">
        <f t="shared" si="324"/>
        <v>103</v>
      </c>
      <c r="AO85" s="166">
        <f t="shared" si="324"/>
        <v>1938624.9200000002</v>
      </c>
      <c r="AP85" s="166">
        <f t="shared" si="324"/>
        <v>2085</v>
      </c>
      <c r="AQ85" s="166">
        <f t="shared" si="324"/>
        <v>131556505.79558547</v>
      </c>
      <c r="AR85" s="166">
        <f t="shared" si="324"/>
        <v>37</v>
      </c>
      <c r="AS85" s="166">
        <f t="shared" si="324"/>
        <v>1553791.1074744335</v>
      </c>
      <c r="AT85" s="166">
        <f t="shared" si="324"/>
        <v>32</v>
      </c>
      <c r="AU85" s="166">
        <f t="shared" si="324"/>
        <v>2455518.5795969134</v>
      </c>
      <c r="AV85" s="166">
        <f t="shared" si="324"/>
        <v>0</v>
      </c>
      <c r="AW85" s="166">
        <f t="shared" si="324"/>
        <v>0</v>
      </c>
      <c r="AX85" s="166">
        <f t="shared" si="324"/>
        <v>18</v>
      </c>
      <c r="AY85" s="166">
        <f t="shared" si="324"/>
        <v>323937.30599999998</v>
      </c>
      <c r="AZ85" s="166">
        <f t="shared" si="324"/>
        <v>0</v>
      </c>
      <c r="BA85" s="166">
        <f t="shared" si="324"/>
        <v>0</v>
      </c>
      <c r="BB85" s="166">
        <f t="shared" si="324"/>
        <v>0</v>
      </c>
      <c r="BC85" s="166">
        <f t="shared" si="324"/>
        <v>0</v>
      </c>
      <c r="BD85" s="166">
        <f t="shared" si="324"/>
        <v>0</v>
      </c>
      <c r="BE85" s="166">
        <f t="shared" si="324"/>
        <v>0</v>
      </c>
      <c r="BF85" s="166">
        <f t="shared" si="324"/>
        <v>0</v>
      </c>
      <c r="BG85" s="166">
        <f t="shared" si="324"/>
        <v>0</v>
      </c>
      <c r="BH85" s="166">
        <f t="shared" si="324"/>
        <v>0</v>
      </c>
      <c r="BI85" s="166">
        <f t="shared" si="324"/>
        <v>0</v>
      </c>
      <c r="BJ85" s="166">
        <f t="shared" si="324"/>
        <v>0</v>
      </c>
      <c r="BK85" s="166">
        <f t="shared" si="324"/>
        <v>0</v>
      </c>
      <c r="BL85" s="166">
        <f t="shared" si="324"/>
        <v>6</v>
      </c>
      <c r="BM85" s="166">
        <f t="shared" si="324"/>
        <v>373007.92899677996</v>
      </c>
      <c r="BN85" s="166">
        <f t="shared" si="324"/>
        <v>4585</v>
      </c>
      <c r="BO85" s="166">
        <f t="shared" si="324"/>
        <v>251261076.73759854</v>
      </c>
      <c r="BP85" s="166">
        <f t="shared" si="324"/>
        <v>500</v>
      </c>
      <c r="BQ85" s="166">
        <f t="shared" si="324"/>
        <v>11730120.691449998</v>
      </c>
      <c r="BR85" s="166">
        <f t="shared" si="324"/>
        <v>0</v>
      </c>
      <c r="BS85" s="166">
        <f t="shared" si="324"/>
        <v>0</v>
      </c>
      <c r="BT85" s="166">
        <f t="shared" si="324"/>
        <v>133</v>
      </c>
      <c r="BU85" s="166">
        <f t="shared" si="324"/>
        <v>3458487.0843578493</v>
      </c>
      <c r="BV85" s="166">
        <f t="shared" si="324"/>
        <v>111</v>
      </c>
      <c r="BW85" s="166">
        <f t="shared" si="324"/>
        <v>2228296.014</v>
      </c>
      <c r="BX85" s="166">
        <f t="shared" si="324"/>
        <v>340</v>
      </c>
      <c r="BY85" s="166">
        <f t="shared" si="324"/>
        <v>13696450.714436533</v>
      </c>
      <c r="BZ85" s="166">
        <f t="shared" si="324"/>
        <v>231</v>
      </c>
      <c r="CA85" s="166">
        <f t="shared" si="324"/>
        <v>7150843.845971128</v>
      </c>
      <c r="CB85" s="166">
        <f t="shared" si="324"/>
        <v>15</v>
      </c>
      <c r="CC85" s="166">
        <f t="shared" si="324"/>
        <v>323969.11802499997</v>
      </c>
      <c r="CD85" s="166">
        <f t="shared" si="324"/>
        <v>60</v>
      </c>
      <c r="CE85" s="166">
        <f t="shared" si="324"/>
        <v>1090698</v>
      </c>
      <c r="CF85" s="166">
        <f t="shared" si="324"/>
        <v>0</v>
      </c>
      <c r="CG85" s="166">
        <f t="shared" si="324"/>
        <v>0</v>
      </c>
      <c r="CH85" s="166">
        <f t="shared" si="324"/>
        <v>349</v>
      </c>
      <c r="CI85" s="166">
        <f t="shared" si="324"/>
        <v>10614823.417421663</v>
      </c>
      <c r="CJ85" s="166">
        <f t="shared" si="324"/>
        <v>0</v>
      </c>
      <c r="CK85" s="166">
        <f t="shared" si="324"/>
        <v>0</v>
      </c>
      <c r="CL85" s="166">
        <f t="shared" si="324"/>
        <v>0</v>
      </c>
      <c r="CM85" s="166">
        <f t="shared" si="324"/>
        <v>0</v>
      </c>
      <c r="CN85" s="166">
        <f t="shared" si="324"/>
        <v>2</v>
      </c>
      <c r="CO85" s="166">
        <f t="shared" si="324"/>
        <v>73876.611199999985</v>
      </c>
      <c r="CP85" s="166">
        <f t="shared" si="324"/>
        <v>619</v>
      </c>
      <c r="CQ85" s="166">
        <f t="shared" si="324"/>
        <v>14930815.520772478</v>
      </c>
      <c r="CR85" s="166">
        <f t="shared" ref="CR85:DQ85" si="325">SUM(CR86:CR104)</f>
        <v>802</v>
      </c>
      <c r="CS85" s="166">
        <f t="shared" si="325"/>
        <v>23237915.318498157</v>
      </c>
      <c r="CT85" s="166">
        <f t="shared" si="325"/>
        <v>466</v>
      </c>
      <c r="CU85" s="166">
        <f t="shared" si="325"/>
        <v>11067607.247157719</v>
      </c>
      <c r="CV85" s="166">
        <f t="shared" si="325"/>
        <v>637</v>
      </c>
      <c r="CW85" s="166">
        <v>20138756.540000007</v>
      </c>
      <c r="CX85" s="166">
        <f t="shared" si="325"/>
        <v>532</v>
      </c>
      <c r="CY85" s="166">
        <f t="shared" si="325"/>
        <v>16328498.274678802</v>
      </c>
      <c r="CZ85" s="166">
        <f t="shared" si="325"/>
        <v>0</v>
      </c>
      <c r="DA85" s="166">
        <v>0</v>
      </c>
      <c r="DB85" s="166">
        <f t="shared" si="325"/>
        <v>437</v>
      </c>
      <c r="DC85" s="166">
        <f t="shared" si="325"/>
        <v>8565295.0219199993</v>
      </c>
      <c r="DD85" s="166">
        <f t="shared" si="325"/>
        <v>0</v>
      </c>
      <c r="DE85" s="166">
        <f t="shared" si="325"/>
        <v>0</v>
      </c>
      <c r="DF85" s="166">
        <f t="shared" si="325"/>
        <v>582</v>
      </c>
      <c r="DG85" s="166">
        <f t="shared" si="325"/>
        <v>15724374.9264</v>
      </c>
      <c r="DH85" s="166">
        <f t="shared" si="325"/>
        <v>24</v>
      </c>
      <c r="DI85" s="166">
        <f t="shared" si="325"/>
        <v>691938.81119999988</v>
      </c>
      <c r="DJ85" s="166">
        <f t="shared" si="325"/>
        <v>260</v>
      </c>
      <c r="DK85" s="166">
        <f t="shared" si="325"/>
        <v>6530806.9274307489</v>
      </c>
      <c r="DL85" s="166">
        <f t="shared" si="325"/>
        <v>76</v>
      </c>
      <c r="DM85" s="166">
        <f t="shared" si="325"/>
        <v>2149072.3857</v>
      </c>
      <c r="DN85" s="166">
        <f t="shared" si="325"/>
        <v>198</v>
      </c>
      <c r="DO85" s="166">
        <f t="shared" si="325"/>
        <v>6876256.1998999994</v>
      </c>
      <c r="DP85" s="166">
        <f t="shared" si="325"/>
        <v>0</v>
      </c>
      <c r="DQ85" s="166">
        <f t="shared" si="325"/>
        <v>0</v>
      </c>
      <c r="DR85" s="166">
        <f>SUM(DR86:DR104)</f>
        <v>16486</v>
      </c>
      <c r="DS85" s="166">
        <f t="shared" ref="DS85" si="326">SUM(DS86:DS104)</f>
        <v>677272603.69828594</v>
      </c>
      <c r="DT85" s="166">
        <v>16481</v>
      </c>
      <c r="DU85" s="166">
        <v>664231715.26173592</v>
      </c>
      <c r="DV85" s="167">
        <f t="shared" si="319"/>
        <v>5</v>
      </c>
      <c r="DW85" s="167">
        <f t="shared" si="319"/>
        <v>13040888.436550021</v>
      </c>
    </row>
    <row r="86" spans="1:127" ht="24" customHeight="1" x14ac:dyDescent="0.25">
      <c r="A86" s="154"/>
      <c r="B86" s="176">
        <v>59</v>
      </c>
      <c r="C86" s="177" t="s">
        <v>264</v>
      </c>
      <c r="D86" s="210" t="s">
        <v>265</v>
      </c>
      <c r="E86" s="158">
        <v>25969</v>
      </c>
      <c r="F86" s="179">
        <v>0.57999999999999996</v>
      </c>
      <c r="G86" s="168">
        <v>1</v>
      </c>
      <c r="H86" s="169"/>
      <c r="I86" s="169"/>
      <c r="J86" s="169"/>
      <c r="K86" s="106"/>
      <c r="L86" s="180">
        <v>1.4</v>
      </c>
      <c r="M86" s="180">
        <v>1.68</v>
      </c>
      <c r="N86" s="180">
        <v>2.23</v>
      </c>
      <c r="O86" s="181">
        <v>2.57</v>
      </c>
      <c r="P86" s="182"/>
      <c r="Q86" s="182">
        <f t="shared" ref="Q86:Q99" si="327">(P86*$E86*$F86*$G86*$L86*$Q$12)</f>
        <v>0</v>
      </c>
      <c r="R86" s="182"/>
      <c r="S86" s="182">
        <f t="shared" ref="S86:S93" si="328">(R86*$E86*$F86*$G86*$L86*$S$12)</f>
        <v>0</v>
      </c>
      <c r="T86" s="182"/>
      <c r="U86" s="182">
        <f t="shared" ref="U86:U99" si="329">(T86/12*11*$E86*$F86*$G86*$L86*$U$12)+(T86/12*1*$E86*$F86*$G86*$L86*$U$14)</f>
        <v>0</v>
      </c>
      <c r="V86" s="182"/>
      <c r="W86" s="183">
        <f t="shared" ref="W86:W99" si="330">(V86*$E86*$F86*$G86*$L86*$W$12)/12*10+(V86*$E86*$F86*$G86*$L86*$W$13)/12*1++(V86*$E86*$F86*$G86*$L86*$W$14)/12*1</f>
        <v>0</v>
      </c>
      <c r="X86" s="183"/>
      <c r="Y86" s="183"/>
      <c r="Z86" s="183"/>
      <c r="AA86" s="183"/>
      <c r="AB86" s="182">
        <f t="shared" ref="AB86:AC104" si="331">X86+Z86</f>
        <v>0</v>
      </c>
      <c r="AC86" s="182">
        <f t="shared" si="331"/>
        <v>0</v>
      </c>
      <c r="AD86" s="182"/>
      <c r="AE86" s="182"/>
      <c r="AF86" s="182"/>
      <c r="AG86" s="182"/>
      <c r="AH86" s="182"/>
      <c r="AI86" s="182">
        <f t="shared" ref="AI86:AI92" si="332">(AH86*$E86*$F86*$G86*$L86*$AI$12)</f>
        <v>0</v>
      </c>
      <c r="AJ86" s="182"/>
      <c r="AK86" s="182"/>
      <c r="AL86" s="182"/>
      <c r="AM86" s="182"/>
      <c r="AN86" s="184"/>
      <c r="AO86" s="182"/>
      <c r="AP86" s="182">
        <f>369+2+20</f>
        <v>391</v>
      </c>
      <c r="AQ86" s="183">
        <f t="shared" ref="AQ86:AQ99" si="333">(AP86*$E86*$F86*$G86*$L86*$AQ$12)</f>
        <v>9069444.7227999996</v>
      </c>
      <c r="AR86" s="182"/>
      <c r="AS86" s="182">
        <f t="shared" ref="AS86:AS99" si="334">(AR86*$E86*$F86*$G86*$L86*$AS$12)/12*10+(AR86*$E86*$F86*$G86*$L86*$AS$13)/12*1+(AR86*$E86*$F86*$G86*$L86*$AS$14)/12*1</f>
        <v>0</v>
      </c>
      <c r="AT86" s="182">
        <v>1</v>
      </c>
      <c r="AU86" s="182">
        <f t="shared" ref="AU86:AU93" si="335">(AT86*$E86*$F86*$G86*$M86*$AU$12)/12*10+(AT86*$E86*$F86*$G86*$M86*$AU$13)/12+(AT86*$E86*$F86*$G86*$M86*$AU$14*$AU$15)/12</f>
        <v>29160.540052543198</v>
      </c>
      <c r="AV86" s="188"/>
      <c r="AW86" s="182"/>
      <c r="AX86" s="182"/>
      <c r="AY86" s="187"/>
      <c r="AZ86" s="182"/>
      <c r="BA86" s="182"/>
      <c r="BB86" s="182">
        <v>0</v>
      </c>
      <c r="BC86" s="182"/>
      <c r="BD86" s="182"/>
      <c r="BE86" s="182"/>
      <c r="BF86" s="182"/>
      <c r="BG86" s="182"/>
      <c r="BH86" s="182"/>
      <c r="BI86" s="183"/>
      <c r="BJ86" s="182"/>
      <c r="BK86" s="183"/>
      <c r="BL86" s="182"/>
      <c r="BM86" s="182">
        <f t="shared" ref="BM86:BM99" si="336">(BL86*$E86*$F86*$G86*$L86*$BM$12)</f>
        <v>0</v>
      </c>
      <c r="BN86" s="182">
        <v>417</v>
      </c>
      <c r="BO86" s="182">
        <f t="shared" ref="BO86:BO99" si="337">(BN86*$E86*$F86*$G86*$M86*$BO$12)</f>
        <v>11607033.604320001</v>
      </c>
      <c r="BP86" s="182"/>
      <c r="BQ86" s="182"/>
      <c r="BR86" s="182"/>
      <c r="BS86" s="183"/>
      <c r="BT86" s="182"/>
      <c r="BU86" s="182">
        <f t="shared" ref="BU86:BU99" si="338">(BT86*$E86*$F86*$G86*$M86*$BU$12)</f>
        <v>0</v>
      </c>
      <c r="BV86" s="182"/>
      <c r="BW86" s="182">
        <f t="shared" ref="BW86:BW99" si="339">(BV86*$E86*$F86*$G86*$M86*$BW$12)</f>
        <v>0</v>
      </c>
      <c r="BX86" s="182">
        <v>38</v>
      </c>
      <c r="BY86" s="183">
        <f t="shared" ref="BY86:BY97" si="340">(BX86*$E86*$F86*$G86*$M86*$BY$12)/12*11+(BX86*$E86*$F86*$G86*$M86*$BY$12*$BY$15)/12</f>
        <v>1296835.8733290238</v>
      </c>
      <c r="BZ86" s="182">
        <f>30-18</f>
        <v>12</v>
      </c>
      <c r="CA86" s="187">
        <f t="shared" ref="CA86:CA96" si="341">(BZ86*$E86*$F86*$G86*$M86*$CA$12)/12*11+(BZ86*$E86*$F86*$G86*$M86*$CA$12*$CA$15)/12</f>
        <v>396848.19864815997</v>
      </c>
      <c r="CB86" s="182"/>
      <c r="CC86" s="182"/>
      <c r="CD86" s="182"/>
      <c r="CE86" s="182"/>
      <c r="CF86" s="182"/>
      <c r="CG86" s="182"/>
      <c r="CH86" s="182">
        <v>24</v>
      </c>
      <c r="CI86" s="182">
        <f t="shared" ref="CI86:CI97" si="342">(CH86*$E86*$F86*$G86*$M86*$CI$12)/12*11+(CH86*$E86*$F86*$G86*$M86*$CI$12*$CI$15)/12</f>
        <v>676797.09587078402</v>
      </c>
      <c r="CJ86" s="182"/>
      <c r="CK86" s="182"/>
      <c r="CL86" s="182"/>
      <c r="CM86" s="183"/>
      <c r="CN86" s="182"/>
      <c r="CO86" s="183">
        <f t="shared" ref="CO86:CO99" si="343">(CN86*$E86*$F86*$G86*$L86*$CO$12)</f>
        <v>0</v>
      </c>
      <c r="CP86" s="182">
        <v>30</v>
      </c>
      <c r="CQ86" s="182">
        <f t="shared" ref="CQ86:CQ89" si="344">(CP86*$E86*$F86*$G86*$L86*$CQ$12)/12*11+(CP86*$E86*$F86*$G86*$L86*$CQ$12*$CQ$15)/12</f>
        <v>701128.59626879997</v>
      </c>
      <c r="CR86" s="182">
        <v>24</v>
      </c>
      <c r="CS86" s="182">
        <f t="shared" ref="CS86:CS89" si="345">(CR86*$E86*$F86*$G86*$L86*$CS$12)/12*10+(CR86*$E86*$F86*$G86*$L86*$CS$13)/12+(CR86*$E86*$F86*$G86*$L86*$CS$13*$CS$15)/12</f>
        <v>606727.92815151985</v>
      </c>
      <c r="CT86" s="182">
        <f>35+17</f>
        <v>52</v>
      </c>
      <c r="CU86" s="182">
        <f t="shared" ref="CU86:CU98" si="346">(CT86*$E86*$F86*$G86*$L86*$CU$12)/12*11+(CT86*$E86*$F86*$G86*$L86*$CU$12*$CU$15)/12</f>
        <v>1151110.5406382398</v>
      </c>
      <c r="CV86" s="182">
        <v>88</v>
      </c>
      <c r="CW86" s="182">
        <v>2036987.3599999975</v>
      </c>
      <c r="CX86" s="182">
        <v>68</v>
      </c>
      <c r="CY86" s="182">
        <f t="shared" ref="CY86:CY89" si="347">(CX86/12*11*$E86*$F86*$G86*$M86*$CY$12)+(CX86/12*$E86*$F86*$G86*$M86*$CY$15*$CY$12)</f>
        <v>1856946.223000512</v>
      </c>
      <c r="CZ86" s="182"/>
      <c r="DA86" s="182">
        <v>0</v>
      </c>
      <c r="DB86" s="188"/>
      <c r="DC86" s="182">
        <f t="shared" ref="DC86:DC99" si="348">(DB86*$E86*$F86*$G86*$M86*$DC$12)</f>
        <v>0</v>
      </c>
      <c r="DD86" s="182"/>
      <c r="DE86" s="187"/>
      <c r="DF86" s="182">
        <f>50+18</f>
        <v>68</v>
      </c>
      <c r="DG86" s="182">
        <f t="shared" ref="DG86:DG99" si="349">(DF86*$E86*$F86*$G86*$M86*$DG$12)</f>
        <v>1720685.1647999999</v>
      </c>
      <c r="DH86" s="189"/>
      <c r="DI86" s="182">
        <f t="shared" ref="DI86:DI99" si="350">(DH86*$E86*$F86*$G86*$M86*$DI$12)</f>
        <v>0</v>
      </c>
      <c r="DJ86" s="182">
        <v>3</v>
      </c>
      <c r="DK86" s="182">
        <f t="shared" ref="DK86:DK89" si="351">(DJ86/12*11*$E86*$F86*$G86*$M86*$DK$12)+(DJ86/12*1*$E86*$F86*$M86*$G86*$DK$12*$DK$15)</f>
        <v>82721.306692919985</v>
      </c>
      <c r="DL86" s="182"/>
      <c r="DM86" s="182">
        <f t="shared" ref="DM86:DM99" si="352">(DL86*$E86*$F86*$G86*$N86*$DM$12)</f>
        <v>0</v>
      </c>
      <c r="DN86" s="182">
        <f>ROUND(4*0.75,0)</f>
        <v>3</v>
      </c>
      <c r="DO86" s="190">
        <f t="shared" ref="DO86:DO99" si="353">(DN86*$E86*$F86*$G86*$O86*$DO$12)</f>
        <v>116128.17419999999</v>
      </c>
      <c r="DP86" s="182"/>
      <c r="DQ86" s="182"/>
      <c r="DR86" s="183">
        <f t="shared" ref="DR86:DS104" si="354">SUM(P86,R86,T86,V86,AB86,AJ86,AD86,AF86,AH86,AL86,AN86,AP86,AV86,AZ86,BB86,CF86,AR86,BF86,BH86,BJ86,CT86,BL86,BN86,AT86,BR86,AX86,CV86,BT86,CX86,BV86,BX86,BZ86,CH86,CB86,CD86,CJ86,CL86,CN86,CP86,CR86,CZ86,DB86,BP86,BD86,DD86,DF86,DH86,DJ86,DL86,DN86,DP86)</f>
        <v>1219</v>
      </c>
      <c r="DS86" s="183">
        <f t="shared" si="354"/>
        <v>31348555.3287725</v>
      </c>
      <c r="DT86" s="182">
        <v>1219</v>
      </c>
      <c r="DU86" s="182">
        <v>30752969.482319996</v>
      </c>
      <c r="DV86" s="167">
        <f t="shared" si="319"/>
        <v>0</v>
      </c>
      <c r="DW86" s="167">
        <f t="shared" si="319"/>
        <v>595585.8464525044</v>
      </c>
    </row>
    <row r="87" spans="1:127" ht="24" customHeight="1" x14ac:dyDescent="0.25">
      <c r="A87" s="154"/>
      <c r="B87" s="176">
        <v>60</v>
      </c>
      <c r="C87" s="177" t="s">
        <v>266</v>
      </c>
      <c r="D87" s="210" t="s">
        <v>267</v>
      </c>
      <c r="E87" s="158">
        <v>25969</v>
      </c>
      <c r="F87" s="179">
        <v>0.62</v>
      </c>
      <c r="G87" s="168">
        <v>1</v>
      </c>
      <c r="H87" s="169"/>
      <c r="I87" s="169"/>
      <c r="J87" s="169"/>
      <c r="K87" s="106"/>
      <c r="L87" s="180">
        <v>1.4</v>
      </c>
      <c r="M87" s="180">
        <v>1.68</v>
      </c>
      <c r="N87" s="180">
        <v>2.23</v>
      </c>
      <c r="O87" s="181">
        <v>2.57</v>
      </c>
      <c r="P87" s="182"/>
      <c r="Q87" s="182">
        <f t="shared" si="327"/>
        <v>0</v>
      </c>
      <c r="R87" s="182"/>
      <c r="S87" s="182">
        <f t="shared" si="328"/>
        <v>0</v>
      </c>
      <c r="T87" s="182">
        <v>1552</v>
      </c>
      <c r="U87" s="182">
        <f t="shared" si="329"/>
        <v>44167015.664800003</v>
      </c>
      <c r="V87" s="182"/>
      <c r="W87" s="183">
        <f t="shared" si="330"/>
        <v>0</v>
      </c>
      <c r="X87" s="183"/>
      <c r="Y87" s="183"/>
      <c r="Z87" s="183"/>
      <c r="AA87" s="183"/>
      <c r="AB87" s="182">
        <f t="shared" si="331"/>
        <v>0</v>
      </c>
      <c r="AC87" s="182">
        <f t="shared" si="331"/>
        <v>0</v>
      </c>
      <c r="AD87" s="182"/>
      <c r="AE87" s="182"/>
      <c r="AF87" s="182"/>
      <c r="AG87" s="182"/>
      <c r="AH87" s="182"/>
      <c r="AI87" s="182">
        <f t="shared" si="332"/>
        <v>0</v>
      </c>
      <c r="AJ87" s="182"/>
      <c r="AK87" s="182"/>
      <c r="AL87" s="182"/>
      <c r="AM87" s="182"/>
      <c r="AN87" s="184"/>
      <c r="AO87" s="182"/>
      <c r="AP87" s="182">
        <v>50</v>
      </c>
      <c r="AQ87" s="183">
        <f t="shared" si="333"/>
        <v>1239760.06</v>
      </c>
      <c r="AR87" s="182"/>
      <c r="AS87" s="182">
        <f t="shared" si="334"/>
        <v>0</v>
      </c>
      <c r="AT87" s="182">
        <v>1</v>
      </c>
      <c r="AU87" s="182">
        <f t="shared" si="335"/>
        <v>31171.611780304804</v>
      </c>
      <c r="AV87" s="188"/>
      <c r="AW87" s="182"/>
      <c r="AX87" s="182"/>
      <c r="AY87" s="187"/>
      <c r="AZ87" s="182"/>
      <c r="BA87" s="182"/>
      <c r="BB87" s="182"/>
      <c r="BC87" s="182"/>
      <c r="BD87" s="182"/>
      <c r="BE87" s="182"/>
      <c r="BF87" s="182"/>
      <c r="BG87" s="182"/>
      <c r="BH87" s="182"/>
      <c r="BI87" s="183"/>
      <c r="BJ87" s="182"/>
      <c r="BK87" s="183"/>
      <c r="BL87" s="182"/>
      <c r="BM87" s="182">
        <f t="shared" si="336"/>
        <v>0</v>
      </c>
      <c r="BN87" s="182">
        <v>1113</v>
      </c>
      <c r="BO87" s="182">
        <f t="shared" si="337"/>
        <v>33116470.722720005</v>
      </c>
      <c r="BP87" s="182"/>
      <c r="BQ87" s="182"/>
      <c r="BR87" s="182"/>
      <c r="BS87" s="183"/>
      <c r="BT87" s="182"/>
      <c r="BU87" s="182">
        <f t="shared" si="338"/>
        <v>0</v>
      </c>
      <c r="BV87" s="182"/>
      <c r="BW87" s="182">
        <f t="shared" si="339"/>
        <v>0</v>
      </c>
      <c r="BX87" s="182">
        <v>61</v>
      </c>
      <c r="BY87" s="183">
        <f t="shared" si="340"/>
        <v>2225332.7009665919</v>
      </c>
      <c r="BZ87" s="182">
        <f>60-42</f>
        <v>18</v>
      </c>
      <c r="CA87" s="187">
        <f t="shared" si="341"/>
        <v>636325.55990135984</v>
      </c>
      <c r="CB87" s="182"/>
      <c r="CC87" s="182"/>
      <c r="CD87" s="182"/>
      <c r="CE87" s="182"/>
      <c r="CF87" s="182"/>
      <c r="CG87" s="182"/>
      <c r="CH87" s="182">
        <v>45</v>
      </c>
      <c r="CI87" s="182">
        <f t="shared" si="342"/>
        <v>1356511.42060308</v>
      </c>
      <c r="CJ87" s="182"/>
      <c r="CK87" s="182"/>
      <c r="CL87" s="182"/>
      <c r="CM87" s="183"/>
      <c r="CN87" s="182"/>
      <c r="CO87" s="183">
        <f t="shared" si="343"/>
        <v>0</v>
      </c>
      <c r="CP87" s="182">
        <v>200</v>
      </c>
      <c r="CQ87" s="182">
        <f t="shared" si="344"/>
        <v>4996548.6170879994</v>
      </c>
      <c r="CR87" s="182">
        <v>250</v>
      </c>
      <c r="CS87" s="182">
        <f t="shared" si="345"/>
        <v>6755950.349388333</v>
      </c>
      <c r="CT87" s="182">
        <f>137-7</f>
        <v>130</v>
      </c>
      <c r="CU87" s="182">
        <f t="shared" si="346"/>
        <v>3076243.6861883998</v>
      </c>
      <c r="CV87" s="182">
        <v>126</v>
      </c>
      <c r="CW87" s="182">
        <v>3724079.0500000035</v>
      </c>
      <c r="CX87" s="182">
        <f>65-29</f>
        <v>36</v>
      </c>
      <c r="CY87" s="182">
        <f t="shared" si="347"/>
        <v>1050888.4304607359</v>
      </c>
      <c r="CZ87" s="182"/>
      <c r="DA87" s="182">
        <v>0</v>
      </c>
      <c r="DB87" s="188"/>
      <c r="DC87" s="182">
        <f t="shared" si="348"/>
        <v>0</v>
      </c>
      <c r="DD87" s="182"/>
      <c r="DE87" s="187"/>
      <c r="DF87" s="182">
        <f>120+42</f>
        <v>162</v>
      </c>
      <c r="DG87" s="182">
        <f t="shared" si="349"/>
        <v>4381988.2847999996</v>
      </c>
      <c r="DH87" s="189">
        <f>ROUND(2*0.75,0)</f>
        <v>2</v>
      </c>
      <c r="DI87" s="182">
        <f>(DH87*$E87*$F87*$G87*$M87*$DI$12)</f>
        <v>54098.620799999997</v>
      </c>
      <c r="DJ87" s="182">
        <v>3</v>
      </c>
      <c r="DK87" s="182">
        <f t="shared" si="351"/>
        <v>88426.224395879981</v>
      </c>
      <c r="DL87" s="182"/>
      <c r="DM87" s="182">
        <f t="shared" si="352"/>
        <v>0</v>
      </c>
      <c r="DN87" s="182">
        <f>ROUND(8*0.75,0)</f>
        <v>6</v>
      </c>
      <c r="DO87" s="190">
        <f t="shared" si="353"/>
        <v>248274.02759999997</v>
      </c>
      <c r="DP87" s="182"/>
      <c r="DQ87" s="182"/>
      <c r="DR87" s="183">
        <f t="shared" si="354"/>
        <v>3755</v>
      </c>
      <c r="DS87" s="183">
        <f t="shared" si="354"/>
        <v>107149085.03149271</v>
      </c>
      <c r="DT87" s="182">
        <v>3755</v>
      </c>
      <c r="DU87" s="182">
        <v>104622912.21297334</v>
      </c>
      <c r="DV87" s="167">
        <f t="shared" si="319"/>
        <v>0</v>
      </c>
      <c r="DW87" s="167">
        <f t="shared" si="319"/>
        <v>2526172.8185193688</v>
      </c>
    </row>
    <row r="88" spans="1:127" ht="24" customHeight="1" x14ac:dyDescent="0.25">
      <c r="A88" s="154"/>
      <c r="B88" s="176">
        <v>61</v>
      </c>
      <c r="C88" s="177" t="s">
        <v>268</v>
      </c>
      <c r="D88" s="210" t="s">
        <v>269</v>
      </c>
      <c r="E88" s="158">
        <v>25969</v>
      </c>
      <c r="F88" s="179">
        <v>1.4</v>
      </c>
      <c r="G88" s="168">
        <v>1</v>
      </c>
      <c r="H88" s="169"/>
      <c r="I88" s="169"/>
      <c r="J88" s="169"/>
      <c r="K88" s="106"/>
      <c r="L88" s="180">
        <v>1.4</v>
      </c>
      <c r="M88" s="180">
        <v>1.68</v>
      </c>
      <c r="N88" s="180">
        <v>2.23</v>
      </c>
      <c r="O88" s="181">
        <v>2.57</v>
      </c>
      <c r="P88" s="182"/>
      <c r="Q88" s="182">
        <f t="shared" si="327"/>
        <v>0</v>
      </c>
      <c r="R88" s="182">
        <v>1</v>
      </c>
      <c r="S88" s="182">
        <f t="shared" si="328"/>
        <v>55989.164000000004</v>
      </c>
      <c r="T88" s="182">
        <f>5+1</f>
        <v>6</v>
      </c>
      <c r="U88" s="182">
        <f t="shared" si="329"/>
        <v>385561.7429999999</v>
      </c>
      <c r="V88" s="182"/>
      <c r="W88" s="183">
        <f t="shared" si="330"/>
        <v>0</v>
      </c>
      <c r="X88" s="183"/>
      <c r="Y88" s="183"/>
      <c r="Z88" s="183"/>
      <c r="AA88" s="183"/>
      <c r="AB88" s="182">
        <f t="shared" si="331"/>
        <v>0</v>
      </c>
      <c r="AC88" s="182">
        <f t="shared" si="331"/>
        <v>0</v>
      </c>
      <c r="AD88" s="182"/>
      <c r="AE88" s="182"/>
      <c r="AF88" s="182"/>
      <c r="AG88" s="182"/>
      <c r="AH88" s="182"/>
      <c r="AI88" s="182">
        <f t="shared" si="332"/>
        <v>0</v>
      </c>
      <c r="AJ88" s="182"/>
      <c r="AK88" s="182"/>
      <c r="AL88" s="182"/>
      <c r="AM88" s="182"/>
      <c r="AN88" s="184"/>
      <c r="AO88" s="182"/>
      <c r="AP88" s="182">
        <v>18</v>
      </c>
      <c r="AQ88" s="183">
        <f t="shared" si="333"/>
        <v>1007804.9519999999</v>
      </c>
      <c r="AR88" s="182"/>
      <c r="AS88" s="182">
        <f t="shared" si="334"/>
        <v>0</v>
      </c>
      <c r="AT88" s="182"/>
      <c r="AU88" s="182">
        <f t="shared" si="335"/>
        <v>0</v>
      </c>
      <c r="AV88" s="188"/>
      <c r="AW88" s="182"/>
      <c r="AX88" s="182"/>
      <c r="AY88" s="187"/>
      <c r="AZ88" s="182"/>
      <c r="BA88" s="182"/>
      <c r="BB88" s="182">
        <v>0</v>
      </c>
      <c r="BC88" s="182"/>
      <c r="BD88" s="182"/>
      <c r="BE88" s="182"/>
      <c r="BF88" s="182"/>
      <c r="BG88" s="182"/>
      <c r="BH88" s="182"/>
      <c r="BI88" s="183"/>
      <c r="BJ88" s="182"/>
      <c r="BK88" s="183"/>
      <c r="BL88" s="182"/>
      <c r="BM88" s="182">
        <f t="shared" si="336"/>
        <v>0</v>
      </c>
      <c r="BN88" s="182">
        <v>5</v>
      </c>
      <c r="BO88" s="182">
        <f t="shared" si="337"/>
        <v>335934.98400000005</v>
      </c>
      <c r="BP88" s="182"/>
      <c r="BQ88" s="182"/>
      <c r="BR88" s="182"/>
      <c r="BS88" s="183"/>
      <c r="BT88" s="182"/>
      <c r="BU88" s="182">
        <f t="shared" si="338"/>
        <v>0</v>
      </c>
      <c r="BV88" s="182"/>
      <c r="BW88" s="182">
        <f t="shared" si="339"/>
        <v>0</v>
      </c>
      <c r="BX88" s="182"/>
      <c r="BY88" s="183">
        <f t="shared" si="340"/>
        <v>0</v>
      </c>
      <c r="BZ88" s="182">
        <v>1</v>
      </c>
      <c r="CA88" s="187">
        <f t="shared" si="341"/>
        <v>79825.787084400014</v>
      </c>
      <c r="CB88" s="182"/>
      <c r="CC88" s="182"/>
      <c r="CD88" s="182"/>
      <c r="CE88" s="182"/>
      <c r="CF88" s="182"/>
      <c r="CG88" s="182"/>
      <c r="CH88" s="182"/>
      <c r="CI88" s="182">
        <f t="shared" si="342"/>
        <v>0</v>
      </c>
      <c r="CJ88" s="182"/>
      <c r="CK88" s="182"/>
      <c r="CL88" s="182"/>
      <c r="CM88" s="183"/>
      <c r="CN88" s="182"/>
      <c r="CO88" s="183">
        <f t="shared" si="343"/>
        <v>0</v>
      </c>
      <c r="CP88" s="182">
        <v>12</v>
      </c>
      <c r="CQ88" s="182">
        <f t="shared" si="344"/>
        <v>676951.7481215999</v>
      </c>
      <c r="CR88" s="182">
        <v>1</v>
      </c>
      <c r="CS88" s="182">
        <f t="shared" si="345"/>
        <v>61021.487026733332</v>
      </c>
      <c r="CT88" s="182">
        <v>1</v>
      </c>
      <c r="CU88" s="182">
        <f t="shared" si="346"/>
        <v>53433.513159599999</v>
      </c>
      <c r="CV88" s="182">
        <v>4</v>
      </c>
      <c r="CW88" s="182">
        <v>244316.36</v>
      </c>
      <c r="CX88" s="182"/>
      <c r="CY88" s="182">
        <f t="shared" si="347"/>
        <v>0</v>
      </c>
      <c r="CZ88" s="182"/>
      <c r="DA88" s="182">
        <v>0</v>
      </c>
      <c r="DB88" s="188"/>
      <c r="DC88" s="182">
        <f t="shared" si="348"/>
        <v>0</v>
      </c>
      <c r="DD88" s="182"/>
      <c r="DE88" s="187"/>
      <c r="DF88" s="182">
        <v>2</v>
      </c>
      <c r="DG88" s="182">
        <f t="shared" si="349"/>
        <v>122158.17599999999</v>
      </c>
      <c r="DH88" s="189"/>
      <c r="DI88" s="182">
        <f t="shared" si="350"/>
        <v>0</v>
      </c>
      <c r="DJ88" s="182">
        <v>2</v>
      </c>
      <c r="DK88" s="182">
        <f t="shared" si="351"/>
        <v>133114.74640239999</v>
      </c>
      <c r="DL88" s="182"/>
      <c r="DM88" s="182">
        <f t="shared" si="352"/>
        <v>0</v>
      </c>
      <c r="DN88" s="182"/>
      <c r="DO88" s="190">
        <f t="shared" si="353"/>
        <v>0</v>
      </c>
      <c r="DP88" s="182"/>
      <c r="DQ88" s="182"/>
      <c r="DR88" s="183">
        <f t="shared" si="354"/>
        <v>53</v>
      </c>
      <c r="DS88" s="183">
        <f t="shared" si="354"/>
        <v>3156112.6607947336</v>
      </c>
      <c r="DT88" s="182">
        <v>52</v>
      </c>
      <c r="DU88" s="182">
        <v>3001697.8549333327</v>
      </c>
      <c r="DV88" s="167">
        <f t="shared" si="319"/>
        <v>1</v>
      </c>
      <c r="DW88" s="167">
        <f t="shared" si="319"/>
        <v>154414.80586140091</v>
      </c>
    </row>
    <row r="89" spans="1:127" ht="23.25" customHeight="1" x14ac:dyDescent="0.25">
      <c r="A89" s="154"/>
      <c r="B89" s="176">
        <v>62</v>
      </c>
      <c r="C89" s="177" t="s">
        <v>270</v>
      </c>
      <c r="D89" s="210" t="s">
        <v>271</v>
      </c>
      <c r="E89" s="158">
        <v>25969</v>
      </c>
      <c r="F89" s="179">
        <v>1.27</v>
      </c>
      <c r="G89" s="168">
        <v>1</v>
      </c>
      <c r="H89" s="169"/>
      <c r="I89" s="169"/>
      <c r="J89" s="169"/>
      <c r="K89" s="106"/>
      <c r="L89" s="180">
        <v>1.4</v>
      </c>
      <c r="M89" s="180">
        <v>1.68</v>
      </c>
      <c r="N89" s="180">
        <v>2.23</v>
      </c>
      <c r="O89" s="181">
        <v>2.57</v>
      </c>
      <c r="P89" s="182">
        <v>15</v>
      </c>
      <c r="Q89" s="182">
        <f t="shared" si="327"/>
        <v>761852.55300000007</v>
      </c>
      <c r="R89" s="182">
        <v>1</v>
      </c>
      <c r="S89" s="182">
        <f t="shared" si="328"/>
        <v>50790.170199999993</v>
      </c>
      <c r="T89" s="182">
        <v>1</v>
      </c>
      <c r="U89" s="182">
        <f t="shared" si="329"/>
        <v>58293.263524999988</v>
      </c>
      <c r="V89" s="182"/>
      <c r="W89" s="183">
        <f t="shared" si="330"/>
        <v>0</v>
      </c>
      <c r="X89" s="183"/>
      <c r="Y89" s="183"/>
      <c r="Z89" s="183"/>
      <c r="AA89" s="183"/>
      <c r="AB89" s="182">
        <f t="shared" si="331"/>
        <v>0</v>
      </c>
      <c r="AC89" s="182">
        <f t="shared" si="331"/>
        <v>0</v>
      </c>
      <c r="AD89" s="182"/>
      <c r="AE89" s="182"/>
      <c r="AF89" s="182"/>
      <c r="AG89" s="182"/>
      <c r="AH89" s="182">
        <v>40</v>
      </c>
      <c r="AI89" s="182">
        <f t="shared" si="332"/>
        <v>2031606.808</v>
      </c>
      <c r="AJ89" s="182"/>
      <c r="AK89" s="182"/>
      <c r="AL89" s="182"/>
      <c r="AM89" s="182"/>
      <c r="AN89" s="184"/>
      <c r="AO89" s="182"/>
      <c r="AP89" s="182">
        <v>31</v>
      </c>
      <c r="AQ89" s="183">
        <f t="shared" si="333"/>
        <v>1574495.2762</v>
      </c>
      <c r="AR89" s="182">
        <v>7</v>
      </c>
      <c r="AS89" s="182">
        <f t="shared" ref="AS89:AS95" si="355">(AR89*$E89*$F89*$G89*$L89*$AS$12)/12*10+(AR89*$E89*$F89*$G89*$L89*$AS$13)/12*1+(AR89*$E89*$F89*$L89*$G89*$AS$14*$AS$15)/12*1</f>
        <v>383806.69478876662</v>
      </c>
      <c r="AT89" s="182"/>
      <c r="AU89" s="182">
        <f t="shared" si="335"/>
        <v>0</v>
      </c>
      <c r="AV89" s="188"/>
      <c r="AW89" s="182"/>
      <c r="AX89" s="182"/>
      <c r="AY89" s="187"/>
      <c r="AZ89" s="182"/>
      <c r="BA89" s="182"/>
      <c r="BB89" s="182"/>
      <c r="BC89" s="182"/>
      <c r="BD89" s="182"/>
      <c r="BE89" s="182"/>
      <c r="BF89" s="182"/>
      <c r="BG89" s="182"/>
      <c r="BH89" s="182"/>
      <c r="BI89" s="183"/>
      <c r="BJ89" s="182"/>
      <c r="BK89" s="183"/>
      <c r="BL89" s="182">
        <v>3</v>
      </c>
      <c r="BM89" s="182">
        <f t="shared" ref="BM89:BM93" si="356">(BL89/12*11*$E89*$F89*$G89*$L89*$BM$12)+(BL89/12*$E89*$F89*$G89*$L89*$BM$12*$BM$15)</f>
        <v>193355.13054118797</v>
      </c>
      <c r="BN89" s="182">
        <v>29</v>
      </c>
      <c r="BO89" s="182">
        <f t="shared" si="337"/>
        <v>1767497.9229600001</v>
      </c>
      <c r="BP89" s="182"/>
      <c r="BQ89" s="182"/>
      <c r="BR89" s="182"/>
      <c r="BS89" s="183"/>
      <c r="BT89" s="182">
        <v>8</v>
      </c>
      <c r="BU89" s="182">
        <f t="shared" ref="BU89" si="357">(BT89*$E89*$F89*$G89*$M89*$BU$12)/12*10+(BT89*$E89*$F89*$G89*$M89*$BU$13)/12+(BT89*$E89*$F89*$G89*$M89*$BU$13*$BU$15)/12</f>
        <v>493791.86027368961</v>
      </c>
      <c r="BV89" s="182">
        <v>2</v>
      </c>
      <c r="BW89" s="182">
        <f t="shared" si="339"/>
        <v>99733.42512</v>
      </c>
      <c r="BX89" s="182">
        <v>3</v>
      </c>
      <c r="BY89" s="183">
        <f t="shared" si="340"/>
        <v>224180.79298473598</v>
      </c>
      <c r="BZ89" s="182">
        <v>1</v>
      </c>
      <c r="CA89" s="187">
        <f t="shared" si="341"/>
        <v>72413.392569419986</v>
      </c>
      <c r="CB89" s="182"/>
      <c r="CC89" s="182"/>
      <c r="CD89" s="182"/>
      <c r="CE89" s="182"/>
      <c r="CF89" s="182"/>
      <c r="CG89" s="182"/>
      <c r="CH89" s="182">
        <v>4</v>
      </c>
      <c r="CI89" s="182">
        <f t="shared" si="342"/>
        <v>246992.04360801599</v>
      </c>
      <c r="CJ89" s="182"/>
      <c r="CK89" s="182"/>
      <c r="CL89" s="182"/>
      <c r="CM89" s="183"/>
      <c r="CN89" s="182">
        <v>2</v>
      </c>
      <c r="CO89" s="183">
        <f t="shared" si="343"/>
        <v>73876.611199999985</v>
      </c>
      <c r="CP89" s="182">
        <v>15</v>
      </c>
      <c r="CQ89" s="182">
        <f t="shared" si="344"/>
        <v>767614.92867360008</v>
      </c>
      <c r="CR89" s="182">
        <v>1</v>
      </c>
      <c r="CS89" s="182">
        <f t="shared" si="345"/>
        <v>55355.206088536652</v>
      </c>
      <c r="CT89" s="182">
        <v>9</v>
      </c>
      <c r="CU89" s="182">
        <f t="shared" si="346"/>
        <v>436246.4681530199</v>
      </c>
      <c r="CV89" s="182">
        <v>34</v>
      </c>
      <c r="CW89" s="182">
        <v>1870001.7799999993</v>
      </c>
      <c r="CX89" s="182">
        <f>40-10</f>
        <v>30</v>
      </c>
      <c r="CY89" s="182">
        <f t="shared" si="347"/>
        <v>1793855.2509208801</v>
      </c>
      <c r="CZ89" s="182"/>
      <c r="DA89" s="182">
        <v>0</v>
      </c>
      <c r="DB89" s="188">
        <v>20</v>
      </c>
      <c r="DC89" s="182">
        <f t="shared" si="348"/>
        <v>997334.25119999982</v>
      </c>
      <c r="DD89" s="182"/>
      <c r="DE89" s="187"/>
      <c r="DF89" s="182">
        <v>2</v>
      </c>
      <c r="DG89" s="182">
        <f t="shared" si="349"/>
        <v>110814.91679999999</v>
      </c>
      <c r="DH89" s="189"/>
      <c r="DI89" s="182">
        <f t="shared" si="350"/>
        <v>0</v>
      </c>
      <c r="DJ89" s="182">
        <v>2</v>
      </c>
      <c r="DK89" s="182">
        <f t="shared" si="351"/>
        <v>120754.09137931999</v>
      </c>
      <c r="DL89" s="182"/>
      <c r="DM89" s="182">
        <f t="shared" si="352"/>
        <v>0</v>
      </c>
      <c r="DN89" s="182">
        <f>ROUND(3*0.75,0)</f>
        <v>2</v>
      </c>
      <c r="DO89" s="190">
        <f t="shared" si="353"/>
        <v>169520.43819999998</v>
      </c>
      <c r="DP89" s="187"/>
      <c r="DQ89" s="187"/>
      <c r="DR89" s="183">
        <f t="shared" si="354"/>
        <v>262</v>
      </c>
      <c r="DS89" s="183">
        <f t="shared" si="354"/>
        <v>14354183.276386173</v>
      </c>
      <c r="DT89" s="182">
        <v>267</v>
      </c>
      <c r="DU89" s="182">
        <v>14252018.642789997</v>
      </c>
      <c r="DV89" s="167">
        <f t="shared" si="319"/>
        <v>-5</v>
      </c>
      <c r="DW89" s="167">
        <f t="shared" si="319"/>
        <v>102164.63359617628</v>
      </c>
    </row>
    <row r="90" spans="1:127" ht="24" customHeight="1" x14ac:dyDescent="0.25">
      <c r="A90" s="154"/>
      <c r="B90" s="176">
        <v>63</v>
      </c>
      <c r="C90" s="177" t="s">
        <v>272</v>
      </c>
      <c r="D90" s="210" t="s">
        <v>273</v>
      </c>
      <c r="E90" s="158">
        <v>25969</v>
      </c>
      <c r="F90" s="179">
        <v>3.12</v>
      </c>
      <c r="G90" s="168">
        <v>1</v>
      </c>
      <c r="H90" s="169"/>
      <c r="I90" s="169"/>
      <c r="J90" s="169"/>
      <c r="K90" s="106"/>
      <c r="L90" s="180">
        <v>1.4</v>
      </c>
      <c r="M90" s="180">
        <v>1.68</v>
      </c>
      <c r="N90" s="180">
        <v>2.23</v>
      </c>
      <c r="O90" s="181">
        <v>2.57</v>
      </c>
      <c r="P90" s="182">
        <v>10</v>
      </c>
      <c r="Q90" s="182">
        <f t="shared" si="327"/>
        <v>1247758.5120000001</v>
      </c>
      <c r="R90" s="182">
        <v>2</v>
      </c>
      <c r="S90" s="182">
        <f t="shared" si="328"/>
        <v>249551.70240000001</v>
      </c>
      <c r="T90" s="182"/>
      <c r="U90" s="182">
        <f t="shared" si="329"/>
        <v>0</v>
      </c>
      <c r="V90" s="182"/>
      <c r="W90" s="183">
        <f t="shared" si="330"/>
        <v>0</v>
      </c>
      <c r="X90" s="183"/>
      <c r="Y90" s="183"/>
      <c r="Z90" s="183"/>
      <c r="AA90" s="183"/>
      <c r="AB90" s="182">
        <f t="shared" si="331"/>
        <v>0</v>
      </c>
      <c r="AC90" s="182">
        <f t="shared" si="331"/>
        <v>0</v>
      </c>
      <c r="AD90" s="182"/>
      <c r="AE90" s="182"/>
      <c r="AF90" s="182"/>
      <c r="AG90" s="182"/>
      <c r="AH90" s="182">
        <v>12</v>
      </c>
      <c r="AI90" s="182">
        <f t="shared" si="332"/>
        <v>1497310.2143999999</v>
      </c>
      <c r="AJ90" s="182"/>
      <c r="AK90" s="182"/>
      <c r="AL90" s="182"/>
      <c r="AM90" s="182"/>
      <c r="AN90" s="184"/>
      <c r="AO90" s="182"/>
      <c r="AP90" s="182">
        <v>17</v>
      </c>
      <c r="AQ90" s="183">
        <f t="shared" si="333"/>
        <v>2121189.4704</v>
      </c>
      <c r="AR90" s="182"/>
      <c r="AS90" s="182">
        <f t="shared" si="355"/>
        <v>0</v>
      </c>
      <c r="AT90" s="182">
        <v>5</v>
      </c>
      <c r="AU90" s="182">
        <f t="shared" si="335"/>
        <v>784317.97382702399</v>
      </c>
      <c r="AV90" s="188"/>
      <c r="AW90" s="182"/>
      <c r="AX90" s="182"/>
      <c r="AY90" s="187"/>
      <c r="AZ90" s="182"/>
      <c r="BA90" s="182"/>
      <c r="BB90" s="182"/>
      <c r="BC90" s="182"/>
      <c r="BD90" s="182"/>
      <c r="BE90" s="182"/>
      <c r="BF90" s="182"/>
      <c r="BG90" s="182"/>
      <c r="BH90" s="182"/>
      <c r="BI90" s="183"/>
      <c r="BJ90" s="182"/>
      <c r="BK90" s="183"/>
      <c r="BL90" s="182"/>
      <c r="BM90" s="182">
        <f t="shared" si="356"/>
        <v>0</v>
      </c>
      <c r="BN90" s="182">
        <v>1</v>
      </c>
      <c r="BO90" s="182">
        <f t="shared" si="337"/>
        <v>149731.02144000001</v>
      </c>
      <c r="BP90" s="182"/>
      <c r="BQ90" s="182"/>
      <c r="BR90" s="182"/>
      <c r="BS90" s="183"/>
      <c r="BT90" s="182"/>
      <c r="BU90" s="182">
        <f t="shared" si="338"/>
        <v>0</v>
      </c>
      <c r="BV90" s="182"/>
      <c r="BW90" s="182">
        <f t="shared" si="339"/>
        <v>0</v>
      </c>
      <c r="BX90" s="182"/>
      <c r="BY90" s="183">
        <f t="shared" si="340"/>
        <v>0</v>
      </c>
      <c r="BZ90" s="182"/>
      <c r="CA90" s="187">
        <f t="shared" si="341"/>
        <v>0</v>
      </c>
      <c r="CB90" s="182"/>
      <c r="CC90" s="182"/>
      <c r="CD90" s="182"/>
      <c r="CE90" s="182"/>
      <c r="CF90" s="182"/>
      <c r="CG90" s="182"/>
      <c r="CH90" s="182">
        <v>1</v>
      </c>
      <c r="CI90" s="182">
        <f t="shared" si="342"/>
        <v>151695.900798624</v>
      </c>
      <c r="CJ90" s="182"/>
      <c r="CK90" s="182"/>
      <c r="CL90" s="182"/>
      <c r="CM90" s="183"/>
      <c r="CN90" s="182"/>
      <c r="CO90" s="183">
        <f t="shared" si="343"/>
        <v>0</v>
      </c>
      <c r="CP90" s="182"/>
      <c r="CQ90" s="182">
        <f t="shared" ref="CQ90:CQ99" si="358">(CP90*$E90*$F90*$G90*$L90*$CQ$12)</f>
        <v>0</v>
      </c>
      <c r="CR90" s="182"/>
      <c r="CS90" s="182">
        <f t="shared" ref="CS90:CS99" si="359">(CR90*$E90*$F90*$G90*$L90*$CS$12)/12*10+(CR90*$E90*$F90*$G90*$L90*$CS$13)/12*2</f>
        <v>0</v>
      </c>
      <c r="CT90" s="182"/>
      <c r="CU90" s="182">
        <f t="shared" si="346"/>
        <v>0</v>
      </c>
      <c r="CV90" s="182">
        <v>1</v>
      </c>
      <c r="CW90" s="182">
        <v>136119.10999999999</v>
      </c>
      <c r="CX90" s="182"/>
      <c r="CY90" s="182">
        <f t="shared" ref="CY90:CY99" si="360">(CX90*$E90*$F90*$G90*$M90*$CY$12)</f>
        <v>0</v>
      </c>
      <c r="CZ90" s="182"/>
      <c r="DA90" s="182">
        <v>0</v>
      </c>
      <c r="DB90" s="188">
        <v>2</v>
      </c>
      <c r="DC90" s="182">
        <f t="shared" si="348"/>
        <v>245014.39872000003</v>
      </c>
      <c r="DD90" s="182"/>
      <c r="DE90" s="187"/>
      <c r="DF90" s="182"/>
      <c r="DG90" s="182">
        <f t="shared" si="349"/>
        <v>0</v>
      </c>
      <c r="DH90" s="189"/>
      <c r="DI90" s="182">
        <f t="shared" si="350"/>
        <v>0</v>
      </c>
      <c r="DJ90" s="182"/>
      <c r="DK90" s="182">
        <f t="shared" ref="DK90:DK93" si="361">(DJ90/12*11*$E90*$F90*$G90*$M90*$DK$12)+(DJ90/12*1*$E90*$F90*$M90*$G$25*$DK$12*$DK$15)</f>
        <v>0</v>
      </c>
      <c r="DL90" s="182"/>
      <c r="DM90" s="182">
        <f t="shared" si="352"/>
        <v>0</v>
      </c>
      <c r="DN90" s="182"/>
      <c r="DO90" s="190">
        <f t="shared" si="353"/>
        <v>0</v>
      </c>
      <c r="DP90" s="187"/>
      <c r="DQ90" s="187"/>
      <c r="DR90" s="183">
        <f t="shared" si="354"/>
        <v>51</v>
      </c>
      <c r="DS90" s="183">
        <f t="shared" si="354"/>
        <v>6582688.3039856488</v>
      </c>
      <c r="DT90" s="182">
        <v>50</v>
      </c>
      <c r="DU90" s="182">
        <v>6423687.6845600009</v>
      </c>
      <c r="DV90" s="167">
        <f t="shared" si="319"/>
        <v>1</v>
      </c>
      <c r="DW90" s="167">
        <f t="shared" si="319"/>
        <v>159000.61942564789</v>
      </c>
    </row>
    <row r="91" spans="1:127" ht="24" customHeight="1" thickBot="1" x14ac:dyDescent="0.3">
      <c r="A91" s="213"/>
      <c r="B91" s="176">
        <v>64</v>
      </c>
      <c r="C91" s="177" t="s">
        <v>274</v>
      </c>
      <c r="D91" s="214" t="s">
        <v>275</v>
      </c>
      <c r="E91" s="158">
        <v>25969</v>
      </c>
      <c r="F91" s="215">
        <v>4.51</v>
      </c>
      <c r="G91" s="216">
        <v>1</v>
      </c>
      <c r="H91" s="217"/>
      <c r="I91" s="217"/>
      <c r="J91" s="217"/>
      <c r="K91" s="106"/>
      <c r="L91" s="218">
        <v>1.4</v>
      </c>
      <c r="M91" s="218">
        <v>1.68</v>
      </c>
      <c r="N91" s="218">
        <v>2.23</v>
      </c>
      <c r="O91" s="219">
        <v>2.57</v>
      </c>
      <c r="P91" s="220"/>
      <c r="Q91" s="182">
        <f t="shared" si="327"/>
        <v>0</v>
      </c>
      <c r="R91" s="220"/>
      <c r="S91" s="182">
        <f t="shared" si="328"/>
        <v>0</v>
      </c>
      <c r="T91" s="220">
        <v>20</v>
      </c>
      <c r="U91" s="182">
        <f t="shared" si="329"/>
        <v>4140198.7165000001</v>
      </c>
      <c r="V91" s="220"/>
      <c r="W91" s="183">
        <f t="shared" si="330"/>
        <v>0</v>
      </c>
      <c r="X91" s="183"/>
      <c r="Y91" s="183"/>
      <c r="Z91" s="183"/>
      <c r="AA91" s="183"/>
      <c r="AB91" s="182">
        <f t="shared" si="331"/>
        <v>0</v>
      </c>
      <c r="AC91" s="182">
        <f t="shared" si="331"/>
        <v>0</v>
      </c>
      <c r="AD91" s="220"/>
      <c r="AE91" s="182"/>
      <c r="AF91" s="182"/>
      <c r="AG91" s="220"/>
      <c r="AH91" s="220"/>
      <c r="AI91" s="182">
        <f t="shared" si="332"/>
        <v>0</v>
      </c>
      <c r="AJ91" s="220"/>
      <c r="AK91" s="220"/>
      <c r="AL91" s="220"/>
      <c r="AM91" s="220"/>
      <c r="AN91" s="221"/>
      <c r="AO91" s="182"/>
      <c r="AP91" s="220"/>
      <c r="AQ91" s="183">
        <f t="shared" si="333"/>
        <v>0</v>
      </c>
      <c r="AR91" s="220"/>
      <c r="AS91" s="182">
        <f t="shared" si="355"/>
        <v>0</v>
      </c>
      <c r="AT91" s="220"/>
      <c r="AU91" s="182">
        <f t="shared" si="335"/>
        <v>0</v>
      </c>
      <c r="AV91" s="222"/>
      <c r="AW91" s="182"/>
      <c r="AX91" s="182"/>
      <c r="AY91" s="187"/>
      <c r="AZ91" s="220"/>
      <c r="BA91" s="182"/>
      <c r="BB91" s="220"/>
      <c r="BC91" s="182"/>
      <c r="BD91" s="220"/>
      <c r="BE91" s="182"/>
      <c r="BF91" s="220"/>
      <c r="BG91" s="182"/>
      <c r="BH91" s="220"/>
      <c r="BI91" s="183"/>
      <c r="BJ91" s="220"/>
      <c r="BK91" s="183"/>
      <c r="BL91" s="220"/>
      <c r="BM91" s="182">
        <f t="shared" si="356"/>
        <v>0</v>
      </c>
      <c r="BN91" s="220">
        <v>1</v>
      </c>
      <c r="BO91" s="182">
        <f t="shared" si="337"/>
        <v>216438.11111999999</v>
      </c>
      <c r="BP91" s="220"/>
      <c r="BQ91" s="182"/>
      <c r="BR91" s="220"/>
      <c r="BS91" s="183"/>
      <c r="BT91" s="220"/>
      <c r="BU91" s="182">
        <f t="shared" si="338"/>
        <v>0</v>
      </c>
      <c r="BV91" s="220"/>
      <c r="BW91" s="182">
        <f t="shared" si="339"/>
        <v>0</v>
      </c>
      <c r="BX91" s="220"/>
      <c r="BY91" s="183">
        <f t="shared" si="340"/>
        <v>0</v>
      </c>
      <c r="BZ91" s="220"/>
      <c r="CA91" s="187">
        <f t="shared" si="341"/>
        <v>0</v>
      </c>
      <c r="CB91" s="220"/>
      <c r="CC91" s="182"/>
      <c r="CD91" s="220"/>
      <c r="CE91" s="182"/>
      <c r="CF91" s="220"/>
      <c r="CG91" s="182"/>
      <c r="CH91" s="220"/>
      <c r="CI91" s="182">
        <f t="shared" si="342"/>
        <v>0</v>
      </c>
      <c r="CJ91" s="220"/>
      <c r="CK91" s="220"/>
      <c r="CL91" s="220"/>
      <c r="CM91" s="183"/>
      <c r="CN91" s="220"/>
      <c r="CO91" s="183">
        <f t="shared" si="343"/>
        <v>0</v>
      </c>
      <c r="CP91" s="220"/>
      <c r="CQ91" s="182">
        <f t="shared" si="358"/>
        <v>0</v>
      </c>
      <c r="CR91" s="220"/>
      <c r="CS91" s="182">
        <f t="shared" si="359"/>
        <v>0</v>
      </c>
      <c r="CT91" s="220"/>
      <c r="CU91" s="182">
        <f t="shared" si="346"/>
        <v>0</v>
      </c>
      <c r="CV91" s="220"/>
      <c r="CW91" s="182">
        <v>0</v>
      </c>
      <c r="CX91" s="220"/>
      <c r="CY91" s="182">
        <f t="shared" si="360"/>
        <v>0</v>
      </c>
      <c r="CZ91" s="220"/>
      <c r="DA91" s="182">
        <v>0</v>
      </c>
      <c r="DB91" s="222"/>
      <c r="DC91" s="182">
        <f t="shared" si="348"/>
        <v>0</v>
      </c>
      <c r="DD91" s="220"/>
      <c r="DE91" s="223"/>
      <c r="DF91" s="220"/>
      <c r="DG91" s="182">
        <f t="shared" si="349"/>
        <v>0</v>
      </c>
      <c r="DH91" s="224"/>
      <c r="DI91" s="182">
        <f t="shared" si="350"/>
        <v>0</v>
      </c>
      <c r="DJ91" s="220"/>
      <c r="DK91" s="182">
        <f t="shared" si="361"/>
        <v>0</v>
      </c>
      <c r="DL91" s="220"/>
      <c r="DM91" s="182">
        <f t="shared" si="352"/>
        <v>0</v>
      </c>
      <c r="DN91" s="182"/>
      <c r="DO91" s="190">
        <f t="shared" si="353"/>
        <v>0</v>
      </c>
      <c r="DP91" s="223"/>
      <c r="DQ91" s="223"/>
      <c r="DR91" s="183">
        <f t="shared" si="354"/>
        <v>21</v>
      </c>
      <c r="DS91" s="183">
        <f t="shared" si="354"/>
        <v>4356636.8276199996</v>
      </c>
      <c r="DT91" s="182">
        <v>21</v>
      </c>
      <c r="DU91" s="182">
        <v>4315644.761119999</v>
      </c>
      <c r="DV91" s="167">
        <f t="shared" si="319"/>
        <v>0</v>
      </c>
      <c r="DW91" s="167">
        <f t="shared" si="319"/>
        <v>40992.066500000656</v>
      </c>
    </row>
    <row r="92" spans="1:127" s="229" customFormat="1" ht="24" customHeight="1" thickBot="1" x14ac:dyDescent="0.3">
      <c r="A92" s="225"/>
      <c r="B92" s="176">
        <v>65</v>
      </c>
      <c r="C92" s="177" t="s">
        <v>276</v>
      </c>
      <c r="D92" s="226" t="s">
        <v>277</v>
      </c>
      <c r="E92" s="158">
        <v>25969</v>
      </c>
      <c r="F92" s="179">
        <v>7.2</v>
      </c>
      <c r="G92" s="168">
        <v>1</v>
      </c>
      <c r="H92" s="168"/>
      <c r="I92" s="168"/>
      <c r="J92" s="168"/>
      <c r="K92" s="106"/>
      <c r="L92" s="227">
        <v>1.4</v>
      </c>
      <c r="M92" s="227">
        <v>1.68</v>
      </c>
      <c r="N92" s="227">
        <v>2.23</v>
      </c>
      <c r="O92" s="227">
        <v>2.57</v>
      </c>
      <c r="P92" s="182">
        <v>1</v>
      </c>
      <c r="Q92" s="182">
        <f t="shared" si="327"/>
        <v>287944.27200000006</v>
      </c>
      <c r="R92" s="182">
        <v>2</v>
      </c>
      <c r="S92" s="182">
        <f t="shared" si="328"/>
        <v>575888.54400000011</v>
      </c>
      <c r="T92" s="182">
        <v>2</v>
      </c>
      <c r="U92" s="182">
        <f t="shared" si="329"/>
        <v>660962.9879999999</v>
      </c>
      <c r="V92" s="182"/>
      <c r="W92" s="183">
        <f t="shared" si="330"/>
        <v>0</v>
      </c>
      <c r="X92" s="183"/>
      <c r="Y92" s="183"/>
      <c r="Z92" s="183"/>
      <c r="AA92" s="183"/>
      <c r="AB92" s="182">
        <f t="shared" si="331"/>
        <v>0</v>
      </c>
      <c r="AC92" s="182">
        <f t="shared" si="331"/>
        <v>0</v>
      </c>
      <c r="AD92" s="182"/>
      <c r="AE92" s="182"/>
      <c r="AF92" s="182"/>
      <c r="AG92" s="182"/>
      <c r="AH92" s="182">
        <v>2</v>
      </c>
      <c r="AI92" s="182">
        <f t="shared" si="332"/>
        <v>575888.54400000011</v>
      </c>
      <c r="AJ92" s="182"/>
      <c r="AK92" s="182"/>
      <c r="AL92" s="182"/>
      <c r="AM92" s="182"/>
      <c r="AN92" s="228"/>
      <c r="AO92" s="182"/>
      <c r="AP92" s="182">
        <f>3-2</f>
        <v>1</v>
      </c>
      <c r="AQ92" s="183">
        <f t="shared" si="333"/>
        <v>287944.27200000006</v>
      </c>
      <c r="AR92" s="182"/>
      <c r="AS92" s="182">
        <f t="shared" si="355"/>
        <v>0</v>
      </c>
      <c r="AT92" s="182"/>
      <c r="AU92" s="182">
        <f t="shared" si="335"/>
        <v>0</v>
      </c>
      <c r="AV92" s="188"/>
      <c r="AW92" s="182"/>
      <c r="AX92" s="182"/>
      <c r="AY92" s="187"/>
      <c r="AZ92" s="182"/>
      <c r="BA92" s="182"/>
      <c r="BB92" s="182"/>
      <c r="BC92" s="182"/>
      <c r="BD92" s="182"/>
      <c r="BE92" s="182"/>
      <c r="BF92" s="182"/>
      <c r="BG92" s="182"/>
      <c r="BH92" s="182"/>
      <c r="BI92" s="183"/>
      <c r="BJ92" s="182"/>
      <c r="BK92" s="183"/>
      <c r="BL92" s="182"/>
      <c r="BM92" s="182">
        <f t="shared" si="356"/>
        <v>0</v>
      </c>
      <c r="BN92" s="182">
        <v>1</v>
      </c>
      <c r="BO92" s="182">
        <f t="shared" si="337"/>
        <v>345533.12640000007</v>
      </c>
      <c r="BP92" s="182"/>
      <c r="BQ92" s="182"/>
      <c r="BR92" s="182"/>
      <c r="BS92" s="183"/>
      <c r="BT92" s="182"/>
      <c r="BU92" s="182">
        <f t="shared" si="338"/>
        <v>0</v>
      </c>
      <c r="BV92" s="182"/>
      <c r="BW92" s="182">
        <f t="shared" si="339"/>
        <v>0</v>
      </c>
      <c r="BX92" s="182"/>
      <c r="BY92" s="183">
        <f t="shared" si="340"/>
        <v>0</v>
      </c>
      <c r="BZ92" s="182"/>
      <c r="CA92" s="187">
        <f t="shared" si="341"/>
        <v>0</v>
      </c>
      <c r="CB92" s="182"/>
      <c r="CC92" s="182"/>
      <c r="CD92" s="182"/>
      <c r="CE92" s="182"/>
      <c r="CF92" s="182"/>
      <c r="CG92" s="182"/>
      <c r="CH92" s="182"/>
      <c r="CI92" s="182">
        <f t="shared" si="342"/>
        <v>0</v>
      </c>
      <c r="CJ92" s="182"/>
      <c r="CK92" s="182"/>
      <c r="CL92" s="182"/>
      <c r="CM92" s="183"/>
      <c r="CN92" s="182"/>
      <c r="CO92" s="183">
        <f t="shared" si="343"/>
        <v>0</v>
      </c>
      <c r="CP92" s="182"/>
      <c r="CQ92" s="182">
        <f t="shared" si="358"/>
        <v>0</v>
      </c>
      <c r="CR92" s="182"/>
      <c r="CS92" s="182">
        <f t="shared" si="359"/>
        <v>0</v>
      </c>
      <c r="CT92" s="182"/>
      <c r="CU92" s="182">
        <f t="shared" si="346"/>
        <v>0</v>
      </c>
      <c r="CV92" s="182"/>
      <c r="CW92" s="182">
        <v>0</v>
      </c>
      <c r="CX92" s="182"/>
      <c r="CY92" s="182">
        <f t="shared" si="360"/>
        <v>0</v>
      </c>
      <c r="CZ92" s="182"/>
      <c r="DA92" s="182">
        <v>0</v>
      </c>
      <c r="DB92" s="188"/>
      <c r="DC92" s="182">
        <f t="shared" si="348"/>
        <v>0</v>
      </c>
      <c r="DD92" s="182"/>
      <c r="DE92" s="187"/>
      <c r="DF92" s="182"/>
      <c r="DG92" s="182">
        <f t="shared" si="349"/>
        <v>0</v>
      </c>
      <c r="DH92" s="182"/>
      <c r="DI92" s="182">
        <f t="shared" si="350"/>
        <v>0</v>
      </c>
      <c r="DJ92" s="182"/>
      <c r="DK92" s="182">
        <f t="shared" si="361"/>
        <v>0</v>
      </c>
      <c r="DL92" s="182"/>
      <c r="DM92" s="182">
        <f t="shared" si="352"/>
        <v>0</v>
      </c>
      <c r="DN92" s="182"/>
      <c r="DO92" s="190">
        <f t="shared" si="353"/>
        <v>0</v>
      </c>
      <c r="DP92" s="187"/>
      <c r="DQ92" s="187"/>
      <c r="DR92" s="183">
        <f t="shared" si="354"/>
        <v>9</v>
      </c>
      <c r="DS92" s="183">
        <f t="shared" si="354"/>
        <v>2734161.7464000001</v>
      </c>
      <c r="DT92" s="182">
        <v>7</v>
      </c>
      <c r="DU92" s="182">
        <v>2151729.0144000007</v>
      </c>
      <c r="DV92" s="167">
        <f t="shared" si="319"/>
        <v>2</v>
      </c>
      <c r="DW92" s="167">
        <f t="shared" si="319"/>
        <v>582432.73199999938</v>
      </c>
    </row>
    <row r="93" spans="1:127" ht="30" x14ac:dyDescent="0.25">
      <c r="A93" s="230"/>
      <c r="B93" s="176">
        <v>66</v>
      </c>
      <c r="C93" s="177" t="s">
        <v>278</v>
      </c>
      <c r="D93" s="231" t="s">
        <v>279</v>
      </c>
      <c r="E93" s="158">
        <v>25969</v>
      </c>
      <c r="F93" s="232">
        <v>1.18</v>
      </c>
      <c r="G93" s="233">
        <v>1</v>
      </c>
      <c r="H93" s="234"/>
      <c r="I93" s="234"/>
      <c r="J93" s="234"/>
      <c r="K93" s="106"/>
      <c r="L93" s="235">
        <v>1.4</v>
      </c>
      <c r="M93" s="235">
        <v>1.68</v>
      </c>
      <c r="N93" s="235">
        <v>2.23</v>
      </c>
      <c r="O93" s="236">
        <v>2.57</v>
      </c>
      <c r="P93" s="237">
        <v>5</v>
      </c>
      <c r="Q93" s="182">
        <f t="shared" si="327"/>
        <v>235954.33400000003</v>
      </c>
      <c r="R93" s="237">
        <v>4</v>
      </c>
      <c r="S93" s="182">
        <f t="shared" si="328"/>
        <v>188763.46719999998</v>
      </c>
      <c r="T93" s="237"/>
      <c r="U93" s="182">
        <f t="shared" si="329"/>
        <v>0</v>
      </c>
      <c r="V93" s="237"/>
      <c r="W93" s="183">
        <f t="shared" si="330"/>
        <v>0</v>
      </c>
      <c r="X93" s="183"/>
      <c r="Y93" s="183"/>
      <c r="Z93" s="183"/>
      <c r="AA93" s="183"/>
      <c r="AB93" s="182">
        <f t="shared" si="331"/>
        <v>0</v>
      </c>
      <c r="AC93" s="182">
        <f t="shared" si="331"/>
        <v>0</v>
      </c>
      <c r="AD93" s="237"/>
      <c r="AE93" s="182"/>
      <c r="AF93" s="237"/>
      <c r="AG93" s="237"/>
      <c r="AH93" s="237"/>
      <c r="AI93" s="182"/>
      <c r="AJ93" s="237"/>
      <c r="AK93" s="237"/>
      <c r="AL93" s="237"/>
      <c r="AM93" s="237"/>
      <c r="AN93" s="238"/>
      <c r="AO93" s="182"/>
      <c r="AP93" s="237">
        <v>485</v>
      </c>
      <c r="AQ93" s="183">
        <f t="shared" si="333"/>
        <v>22887570.397999998</v>
      </c>
      <c r="AR93" s="237">
        <v>20</v>
      </c>
      <c r="AS93" s="182">
        <f t="shared" si="355"/>
        <v>1018879.4147373335</v>
      </c>
      <c r="AT93" s="237">
        <v>23</v>
      </c>
      <c r="AU93" s="182">
        <f t="shared" si="335"/>
        <v>1364512.1672862454</v>
      </c>
      <c r="AV93" s="186"/>
      <c r="AW93" s="182"/>
      <c r="AX93" s="182"/>
      <c r="AY93" s="187"/>
      <c r="AZ93" s="237"/>
      <c r="BA93" s="182"/>
      <c r="BB93" s="237"/>
      <c r="BC93" s="182"/>
      <c r="BD93" s="237"/>
      <c r="BE93" s="182"/>
      <c r="BF93" s="237"/>
      <c r="BG93" s="182"/>
      <c r="BH93" s="237"/>
      <c r="BI93" s="183"/>
      <c r="BJ93" s="237"/>
      <c r="BK93" s="183"/>
      <c r="BL93" s="237">
        <v>3</v>
      </c>
      <c r="BM93" s="182">
        <f t="shared" si="356"/>
        <v>179652.79845559195</v>
      </c>
      <c r="BN93" s="237">
        <v>225</v>
      </c>
      <c r="BO93" s="182">
        <f t="shared" si="337"/>
        <v>12741534.036</v>
      </c>
      <c r="BP93" s="237"/>
      <c r="BQ93" s="182"/>
      <c r="BR93" s="237"/>
      <c r="BS93" s="183"/>
      <c r="BT93" s="237"/>
      <c r="BU93" s="182">
        <f t="shared" si="338"/>
        <v>0</v>
      </c>
      <c r="BV93" s="237">
        <v>2</v>
      </c>
      <c r="BW93" s="182">
        <f t="shared" si="339"/>
        <v>92665.702079999988</v>
      </c>
      <c r="BX93" s="237">
        <v>9</v>
      </c>
      <c r="BY93" s="183">
        <f t="shared" si="340"/>
        <v>624881.8954062718</v>
      </c>
      <c r="BZ93" s="237">
        <v>2</v>
      </c>
      <c r="CA93" s="187">
        <f t="shared" si="341"/>
        <v>134563.46965655996</v>
      </c>
      <c r="CB93" s="237"/>
      <c r="CC93" s="182"/>
      <c r="CD93" s="237"/>
      <c r="CE93" s="182"/>
      <c r="CF93" s="237"/>
      <c r="CG93" s="182"/>
      <c r="CH93" s="237">
        <v>20</v>
      </c>
      <c r="CI93" s="182">
        <f t="shared" si="342"/>
        <v>1147443.3521947199</v>
      </c>
      <c r="CJ93" s="237"/>
      <c r="CK93" s="237"/>
      <c r="CL93" s="237"/>
      <c r="CM93" s="183"/>
      <c r="CN93" s="237"/>
      <c r="CO93" s="183">
        <f t="shared" si="343"/>
        <v>0</v>
      </c>
      <c r="CP93" s="237">
        <v>28</v>
      </c>
      <c r="CQ93" s="182">
        <f t="shared" ref="CQ93:CQ96" si="362">(CP93*$E93*$F93*$G93*$L93*$CQ$12)/12*11+(CP93*$E93*$F93*$G93*$L93*$CQ$12*$CQ$15)/12</f>
        <v>1331338.43797248</v>
      </c>
      <c r="CR93" s="237">
        <v>75</v>
      </c>
      <c r="CS93" s="182">
        <f t="shared" ref="CS93:CS97" si="363">(CR93*$E93*$F93*$G93*$L93*$CS$12)/12*10+(CR93*$E93*$F93*$G93*$L93*$CS$13)/12+(CR93*$E93*$F93*$G93*$L93*$CS$13*$CS$15)/12</f>
        <v>3857429.7156185</v>
      </c>
      <c r="CT93" s="237">
        <v>24</v>
      </c>
      <c r="CU93" s="182">
        <f t="shared" si="346"/>
        <v>1080883.6376284799</v>
      </c>
      <c r="CV93" s="237">
        <v>88</v>
      </c>
      <c r="CW93" s="182">
        <v>4375880.770000007</v>
      </c>
      <c r="CX93" s="237">
        <v>15</v>
      </c>
      <c r="CY93" s="182">
        <f t="shared" ref="CY93:CY95" si="364">(CX93/12*11*$E93*$F93*$G93*$M93*$CY$12)+(CX93/12*$E93*$F93*$G93*$M93*$CY$15*$CY$12)</f>
        <v>833365.8252309598</v>
      </c>
      <c r="CZ93" s="237"/>
      <c r="DA93" s="182">
        <v>0</v>
      </c>
      <c r="DB93" s="186"/>
      <c r="DC93" s="182">
        <f t="shared" si="348"/>
        <v>0</v>
      </c>
      <c r="DD93" s="237"/>
      <c r="DE93" s="239"/>
      <c r="DF93" s="237">
        <f>10+38</f>
        <v>48</v>
      </c>
      <c r="DG93" s="182">
        <f t="shared" si="349"/>
        <v>2471085.3887999998</v>
      </c>
      <c r="DH93" s="189">
        <f>ROUND(1*0.75,0)</f>
        <v>1</v>
      </c>
      <c r="DI93" s="182">
        <f>(DH93*$E93*$F93*$G93*$M93*$DI$12)</f>
        <v>51480.945599999992</v>
      </c>
      <c r="DJ93" s="237"/>
      <c r="DK93" s="182">
        <f t="shared" si="361"/>
        <v>0</v>
      </c>
      <c r="DL93" s="182">
        <f>ROUND(2*0.75,0)</f>
        <v>2</v>
      </c>
      <c r="DM93" s="182">
        <f t="shared" si="352"/>
        <v>136669.6532</v>
      </c>
      <c r="DN93" s="182">
        <f>ROUND(4*0.75,0)</f>
        <v>3</v>
      </c>
      <c r="DO93" s="190">
        <f t="shared" si="353"/>
        <v>236260.76819999996</v>
      </c>
      <c r="DP93" s="239"/>
      <c r="DQ93" s="239"/>
      <c r="DR93" s="183">
        <f t="shared" si="354"/>
        <v>1082</v>
      </c>
      <c r="DS93" s="183">
        <f t="shared" si="354"/>
        <v>54990816.177267134</v>
      </c>
      <c r="DT93" s="182">
        <v>1080</v>
      </c>
      <c r="DU93" s="182">
        <v>53826597.650266692</v>
      </c>
      <c r="DV93" s="167">
        <f t="shared" si="319"/>
        <v>2</v>
      </c>
      <c r="DW93" s="167">
        <f t="shared" si="319"/>
        <v>1164218.5270004421</v>
      </c>
    </row>
    <row r="94" spans="1:127" ht="30" customHeight="1" x14ac:dyDescent="0.25">
      <c r="A94" s="154"/>
      <c r="B94" s="176">
        <v>67</v>
      </c>
      <c r="C94" s="177" t="s">
        <v>280</v>
      </c>
      <c r="D94" s="210" t="s">
        <v>281</v>
      </c>
      <c r="E94" s="158">
        <v>25969</v>
      </c>
      <c r="F94" s="179">
        <v>0.98</v>
      </c>
      <c r="G94" s="168">
        <v>1</v>
      </c>
      <c r="H94" s="169"/>
      <c r="I94" s="169"/>
      <c r="J94" s="169"/>
      <c r="K94" s="106"/>
      <c r="L94" s="180">
        <v>1.4</v>
      </c>
      <c r="M94" s="180">
        <v>1.68</v>
      </c>
      <c r="N94" s="180">
        <v>2.23</v>
      </c>
      <c r="O94" s="181">
        <v>2.57</v>
      </c>
      <c r="P94" s="182">
        <v>1</v>
      </c>
      <c r="Q94" s="182">
        <f t="shared" si="327"/>
        <v>39192.414799999999</v>
      </c>
      <c r="R94" s="182"/>
      <c r="S94" s="182"/>
      <c r="T94" s="182">
        <v>434</v>
      </c>
      <c r="U94" s="182">
        <f t="shared" si="329"/>
        <v>19522276.253899995</v>
      </c>
      <c r="V94" s="182"/>
      <c r="W94" s="183">
        <f t="shared" si="330"/>
        <v>0</v>
      </c>
      <c r="X94" s="183"/>
      <c r="Y94" s="183"/>
      <c r="Z94" s="183"/>
      <c r="AA94" s="183"/>
      <c r="AB94" s="182">
        <f t="shared" si="331"/>
        <v>0</v>
      </c>
      <c r="AC94" s="182">
        <f t="shared" si="331"/>
        <v>0</v>
      </c>
      <c r="AD94" s="182"/>
      <c r="AE94" s="182"/>
      <c r="AF94" s="182"/>
      <c r="AG94" s="182"/>
      <c r="AH94" s="182"/>
      <c r="AI94" s="182"/>
      <c r="AJ94" s="182"/>
      <c r="AK94" s="182"/>
      <c r="AL94" s="182"/>
      <c r="AM94" s="182"/>
      <c r="AN94" s="184"/>
      <c r="AO94" s="182"/>
      <c r="AP94" s="182">
        <v>124</v>
      </c>
      <c r="AQ94" s="183">
        <f t="shared" si="333"/>
        <v>4859859.4352000002</v>
      </c>
      <c r="AR94" s="182"/>
      <c r="AS94" s="182">
        <f t="shared" si="355"/>
        <v>0</v>
      </c>
      <c r="AT94" s="182"/>
      <c r="AU94" s="182">
        <f t="shared" ref="AU94:AU95" si="365">(AT94*$E94*$F94*$G94*$M94*$AU$12)/12*10+(AT94*$E94*$F94*$G94*$M94*$AU$13)/12*2</f>
        <v>0</v>
      </c>
      <c r="AV94" s="188"/>
      <c r="AW94" s="182"/>
      <c r="AX94" s="182"/>
      <c r="AY94" s="187"/>
      <c r="AZ94" s="182"/>
      <c r="BA94" s="182"/>
      <c r="BB94" s="182"/>
      <c r="BC94" s="182"/>
      <c r="BD94" s="182"/>
      <c r="BE94" s="182"/>
      <c r="BF94" s="182"/>
      <c r="BG94" s="182"/>
      <c r="BH94" s="182"/>
      <c r="BI94" s="183"/>
      <c r="BJ94" s="182"/>
      <c r="BK94" s="183"/>
      <c r="BL94" s="182"/>
      <c r="BM94" s="182">
        <f t="shared" si="336"/>
        <v>0</v>
      </c>
      <c r="BN94" s="182">
        <v>559</v>
      </c>
      <c r="BO94" s="182">
        <f t="shared" si="337"/>
        <v>26290271.84784</v>
      </c>
      <c r="BP94" s="182"/>
      <c r="BQ94" s="182"/>
      <c r="BR94" s="182"/>
      <c r="BS94" s="183"/>
      <c r="BT94" s="182"/>
      <c r="BU94" s="182">
        <f t="shared" si="338"/>
        <v>0</v>
      </c>
      <c r="BV94" s="182"/>
      <c r="BW94" s="182">
        <f t="shared" si="339"/>
        <v>0</v>
      </c>
      <c r="BX94" s="182">
        <v>11</v>
      </c>
      <c r="BY94" s="183">
        <f t="shared" si="340"/>
        <v>634296.31190956791</v>
      </c>
      <c r="BZ94" s="182">
        <f>12-12</f>
        <v>0</v>
      </c>
      <c r="CA94" s="187">
        <f t="shared" si="341"/>
        <v>0</v>
      </c>
      <c r="CB94" s="182"/>
      <c r="CC94" s="182"/>
      <c r="CD94" s="182"/>
      <c r="CE94" s="182"/>
      <c r="CF94" s="182"/>
      <c r="CG94" s="182"/>
      <c r="CH94" s="182">
        <v>10</v>
      </c>
      <c r="CI94" s="182">
        <f t="shared" si="342"/>
        <v>476480.71404696</v>
      </c>
      <c r="CJ94" s="182"/>
      <c r="CK94" s="182"/>
      <c r="CL94" s="182"/>
      <c r="CM94" s="183"/>
      <c r="CN94" s="182"/>
      <c r="CO94" s="183">
        <f t="shared" si="343"/>
        <v>0</v>
      </c>
      <c r="CP94" s="182">
        <v>10</v>
      </c>
      <c r="CQ94" s="182">
        <f t="shared" si="362"/>
        <v>394888.51973759994</v>
      </c>
      <c r="CR94" s="182">
        <v>10</v>
      </c>
      <c r="CS94" s="182">
        <f t="shared" si="363"/>
        <v>427150.40918713325</v>
      </c>
      <c r="CT94" s="182">
        <f>24-5</f>
        <v>19</v>
      </c>
      <c r="CU94" s="182">
        <f t="shared" si="346"/>
        <v>710665.72502267989</v>
      </c>
      <c r="CV94" s="182">
        <v>46</v>
      </c>
      <c r="CW94" s="182">
        <v>2048112.7100000009</v>
      </c>
      <c r="CX94" s="182">
        <v>43</v>
      </c>
      <c r="CY94" s="182">
        <f t="shared" si="364"/>
        <v>1984069.823459472</v>
      </c>
      <c r="CZ94" s="182"/>
      <c r="DA94" s="182">
        <v>0</v>
      </c>
      <c r="DB94" s="188"/>
      <c r="DC94" s="182">
        <f t="shared" si="348"/>
        <v>0</v>
      </c>
      <c r="DD94" s="182"/>
      <c r="DE94" s="187"/>
      <c r="DF94" s="182">
        <f>15+12</f>
        <v>27</v>
      </c>
      <c r="DG94" s="182">
        <f t="shared" si="349"/>
        <v>1154394.7631999999</v>
      </c>
      <c r="DH94" s="189">
        <f>ROUND(10*0.75,0)</f>
        <v>8</v>
      </c>
      <c r="DI94" s="182">
        <f>(DH94*$E94*$F94*$G94*$M94*$DI$12)</f>
        <v>342042.89279999997</v>
      </c>
      <c r="DJ94" s="182">
        <v>6</v>
      </c>
      <c r="DK94" s="182">
        <f t="shared" ref="DK94:DK96" si="366">(DJ94/12*11*$E94*$F94*$G94*$M94*$DK$12)+(DJ94/12*1*$E94*$F94*$M94*$G94*$DK$12*$DK$15)</f>
        <v>279540.96744504001</v>
      </c>
      <c r="DL94" s="182"/>
      <c r="DM94" s="182">
        <f t="shared" si="352"/>
        <v>0</v>
      </c>
      <c r="DN94" s="182">
        <f>ROUND(4*0.75,0)</f>
        <v>3</v>
      </c>
      <c r="DO94" s="190">
        <f t="shared" si="353"/>
        <v>196216.57019999999</v>
      </c>
      <c r="DP94" s="187"/>
      <c r="DQ94" s="187"/>
      <c r="DR94" s="183">
        <f t="shared" si="354"/>
        <v>1311</v>
      </c>
      <c r="DS94" s="183">
        <f t="shared" si="354"/>
        <v>59359459.358748451</v>
      </c>
      <c r="DT94" s="182">
        <v>1309</v>
      </c>
      <c r="DU94" s="182">
        <v>58658366.202893339</v>
      </c>
      <c r="DV94" s="167">
        <f t="shared" si="319"/>
        <v>2</v>
      </c>
      <c r="DW94" s="167">
        <f t="shared" si="319"/>
        <v>701093.15585511178</v>
      </c>
    </row>
    <row r="95" spans="1:127" ht="45" x14ac:dyDescent="0.25">
      <c r="A95" s="154"/>
      <c r="B95" s="176">
        <v>68</v>
      </c>
      <c r="C95" s="177" t="s">
        <v>282</v>
      </c>
      <c r="D95" s="210" t="s">
        <v>283</v>
      </c>
      <c r="E95" s="158">
        <v>25969</v>
      </c>
      <c r="F95" s="179">
        <v>0.35</v>
      </c>
      <c r="G95" s="168">
        <v>1</v>
      </c>
      <c r="H95" s="169"/>
      <c r="I95" s="169"/>
      <c r="J95" s="169"/>
      <c r="K95" s="106"/>
      <c r="L95" s="180">
        <v>1.4</v>
      </c>
      <c r="M95" s="180">
        <v>1.68</v>
      </c>
      <c r="N95" s="180">
        <v>2.23</v>
      </c>
      <c r="O95" s="181">
        <v>2.57</v>
      </c>
      <c r="P95" s="182">
        <v>21</v>
      </c>
      <c r="Q95" s="182">
        <f t="shared" si="327"/>
        <v>293943.11099999998</v>
      </c>
      <c r="R95" s="182"/>
      <c r="S95" s="182"/>
      <c r="T95" s="182"/>
      <c r="U95" s="182">
        <f t="shared" si="329"/>
        <v>0</v>
      </c>
      <c r="V95" s="182"/>
      <c r="W95" s="183">
        <f t="shared" si="330"/>
        <v>0</v>
      </c>
      <c r="X95" s="183"/>
      <c r="Y95" s="183"/>
      <c r="Z95" s="183"/>
      <c r="AA95" s="183"/>
      <c r="AB95" s="182">
        <f t="shared" si="331"/>
        <v>0</v>
      </c>
      <c r="AC95" s="182">
        <f t="shared" si="331"/>
        <v>0</v>
      </c>
      <c r="AD95" s="182"/>
      <c r="AE95" s="182"/>
      <c r="AF95" s="182"/>
      <c r="AG95" s="182"/>
      <c r="AH95" s="182"/>
      <c r="AI95" s="182"/>
      <c r="AJ95" s="182"/>
      <c r="AK95" s="182"/>
      <c r="AL95" s="182"/>
      <c r="AM95" s="182"/>
      <c r="AN95" s="182">
        <v>19</v>
      </c>
      <c r="AO95" s="182">
        <v>258950</v>
      </c>
      <c r="AP95" s="182">
        <v>66</v>
      </c>
      <c r="AQ95" s="183">
        <f t="shared" si="333"/>
        <v>923821.20599999989</v>
      </c>
      <c r="AR95" s="182">
        <v>10</v>
      </c>
      <c r="AS95" s="182">
        <f t="shared" si="355"/>
        <v>151104.99794833333</v>
      </c>
      <c r="AT95" s="182"/>
      <c r="AU95" s="182">
        <f t="shared" si="365"/>
        <v>0</v>
      </c>
      <c r="AV95" s="188"/>
      <c r="AW95" s="182"/>
      <c r="AX95" s="182">
        <v>15</v>
      </c>
      <c r="AY95" s="187">
        <f>(AX95*$E95*$F95*$G95*$M95*$AY$12)</f>
        <v>251951.23800000001</v>
      </c>
      <c r="AZ95" s="182"/>
      <c r="BA95" s="182"/>
      <c r="BB95" s="182"/>
      <c r="BC95" s="182"/>
      <c r="BD95" s="182"/>
      <c r="BE95" s="182"/>
      <c r="BF95" s="182"/>
      <c r="BG95" s="182"/>
      <c r="BH95" s="182"/>
      <c r="BI95" s="183"/>
      <c r="BJ95" s="182"/>
      <c r="BK95" s="183"/>
      <c r="BL95" s="182"/>
      <c r="BM95" s="182">
        <f t="shared" si="336"/>
        <v>0</v>
      </c>
      <c r="BN95" s="182">
        <v>188</v>
      </c>
      <c r="BO95" s="182">
        <f t="shared" si="337"/>
        <v>3157788.8496000003</v>
      </c>
      <c r="BP95" s="182"/>
      <c r="BQ95" s="182"/>
      <c r="BR95" s="182"/>
      <c r="BS95" s="183"/>
      <c r="BT95" s="182">
        <v>10</v>
      </c>
      <c r="BU95" s="182">
        <f t="shared" ref="BU95:BU96" si="367">(BT95*$E95*$F95*$G95*$M95*$BU$12)/12*10+(BT95*$E95*$F95*$G95*$M95*$BU$13)/12+(BT95*$E95*$F95*$G95*$M95*$BU$13*$BU$15)/12</f>
        <v>170105.46367696</v>
      </c>
      <c r="BV95" s="182">
        <v>11</v>
      </c>
      <c r="BW95" s="182">
        <f t="shared" si="339"/>
        <v>151170.74280000001</v>
      </c>
      <c r="BX95" s="182">
        <v>45</v>
      </c>
      <c r="BY95" s="183">
        <f t="shared" si="340"/>
        <v>926731.62454320001</v>
      </c>
      <c r="BZ95" s="182">
        <f>40-28</f>
        <v>12</v>
      </c>
      <c r="CA95" s="187">
        <f t="shared" si="341"/>
        <v>239477.36125319995</v>
      </c>
      <c r="CB95" s="182"/>
      <c r="CC95" s="182"/>
      <c r="CD95" s="182"/>
      <c r="CE95" s="182"/>
      <c r="CF95" s="182"/>
      <c r="CG95" s="182"/>
      <c r="CH95" s="182">
        <v>32</v>
      </c>
      <c r="CI95" s="182">
        <f t="shared" si="342"/>
        <v>544549.38748223998</v>
      </c>
      <c r="CJ95" s="182"/>
      <c r="CK95" s="182"/>
      <c r="CL95" s="182"/>
      <c r="CM95" s="183"/>
      <c r="CN95" s="182"/>
      <c r="CO95" s="183">
        <f t="shared" si="343"/>
        <v>0</v>
      </c>
      <c r="CP95" s="182">
        <v>77</v>
      </c>
      <c r="CQ95" s="182">
        <f t="shared" si="362"/>
        <v>1085943.4292783998</v>
      </c>
      <c r="CR95" s="182">
        <v>46</v>
      </c>
      <c r="CS95" s="182">
        <f t="shared" si="363"/>
        <v>701747.10080743325</v>
      </c>
      <c r="CT95" s="182">
        <v>57</v>
      </c>
      <c r="CU95" s="182">
        <f t="shared" si="346"/>
        <v>761427.56252429995</v>
      </c>
      <c r="CV95" s="182">
        <v>54</v>
      </c>
      <c r="CW95" s="182">
        <v>801662.94000000053</v>
      </c>
      <c r="CX95" s="182">
        <v>75</v>
      </c>
      <c r="CY95" s="182">
        <f t="shared" si="364"/>
        <v>1235923.893351</v>
      </c>
      <c r="CZ95" s="182"/>
      <c r="DA95" s="182">
        <v>0</v>
      </c>
      <c r="DB95" s="188">
        <v>140</v>
      </c>
      <c r="DC95" s="182">
        <f t="shared" si="348"/>
        <v>1923991.2720000001</v>
      </c>
      <c r="DD95" s="182"/>
      <c r="DE95" s="187"/>
      <c r="DF95" s="182">
        <f>20+28</f>
        <v>48</v>
      </c>
      <c r="DG95" s="182">
        <f t="shared" si="349"/>
        <v>732949.05599999987</v>
      </c>
      <c r="DH95" s="189">
        <f>ROUND(8*0.75,0)</f>
        <v>6</v>
      </c>
      <c r="DI95" s="182">
        <f>(DH95*$E95*$F95*$G95*$M95*$DI$12)</f>
        <v>91618.631999999983</v>
      </c>
      <c r="DJ95" s="182">
        <v>25</v>
      </c>
      <c r="DK95" s="182">
        <f t="shared" si="366"/>
        <v>415983.58250750002</v>
      </c>
      <c r="DL95" s="182">
        <f>ROUND(20*0.75,0)</f>
        <v>15</v>
      </c>
      <c r="DM95" s="182">
        <f t="shared" si="352"/>
        <v>304032.0675</v>
      </c>
      <c r="DN95" s="182">
        <f>ROUND(17*0.75,0)</f>
        <v>13</v>
      </c>
      <c r="DO95" s="190">
        <f t="shared" si="353"/>
        <v>303668.50149999995</v>
      </c>
      <c r="DP95" s="187"/>
      <c r="DQ95" s="187"/>
      <c r="DR95" s="183">
        <f t="shared" si="354"/>
        <v>985</v>
      </c>
      <c r="DS95" s="183">
        <f t="shared" si="354"/>
        <v>15428542.019772569</v>
      </c>
      <c r="DT95" s="182">
        <v>985</v>
      </c>
      <c r="DU95" s="182">
        <v>14868649.6587</v>
      </c>
      <c r="DV95" s="167">
        <f t="shared" si="319"/>
        <v>0</v>
      </c>
      <c r="DW95" s="167">
        <f t="shared" si="319"/>
        <v>559892.36107256822</v>
      </c>
    </row>
    <row r="96" spans="1:127" ht="30" customHeight="1" x14ac:dyDescent="0.25">
      <c r="A96" s="154"/>
      <c r="B96" s="176">
        <v>69</v>
      </c>
      <c r="C96" s="177" t="s">
        <v>284</v>
      </c>
      <c r="D96" s="210" t="s">
        <v>285</v>
      </c>
      <c r="E96" s="158">
        <v>25969</v>
      </c>
      <c r="F96" s="179">
        <v>0.5</v>
      </c>
      <c r="G96" s="168">
        <v>1</v>
      </c>
      <c r="H96" s="169"/>
      <c r="I96" s="169"/>
      <c r="J96" s="169"/>
      <c r="K96" s="106"/>
      <c r="L96" s="180">
        <v>1.4</v>
      </c>
      <c r="M96" s="180">
        <v>1.68</v>
      </c>
      <c r="N96" s="180">
        <v>2.23</v>
      </c>
      <c r="O96" s="181">
        <v>2.57</v>
      </c>
      <c r="P96" s="182">
        <v>16</v>
      </c>
      <c r="Q96" s="182">
        <f t="shared" si="327"/>
        <v>319938.08</v>
      </c>
      <c r="R96" s="182"/>
      <c r="S96" s="182"/>
      <c r="T96" s="182">
        <v>1000</v>
      </c>
      <c r="U96" s="182">
        <f t="shared" si="329"/>
        <v>22950103.749999993</v>
      </c>
      <c r="V96" s="182"/>
      <c r="W96" s="183">
        <f t="shared" si="330"/>
        <v>0</v>
      </c>
      <c r="X96" s="183"/>
      <c r="Y96" s="183"/>
      <c r="Z96" s="183"/>
      <c r="AA96" s="183"/>
      <c r="AB96" s="182">
        <f t="shared" si="331"/>
        <v>0</v>
      </c>
      <c r="AC96" s="182">
        <f t="shared" si="331"/>
        <v>0</v>
      </c>
      <c r="AD96" s="182"/>
      <c r="AE96" s="182"/>
      <c r="AF96" s="182"/>
      <c r="AG96" s="182"/>
      <c r="AH96" s="182"/>
      <c r="AI96" s="182"/>
      <c r="AJ96" s="182"/>
      <c r="AK96" s="182"/>
      <c r="AL96" s="182"/>
      <c r="AM96" s="182"/>
      <c r="AN96" s="182">
        <v>84</v>
      </c>
      <c r="AO96" s="182">
        <f>(AN96*$E96*$F96*$G96*$L96*$AO$12)</f>
        <v>1679674.9200000002</v>
      </c>
      <c r="AP96" s="182">
        <v>20</v>
      </c>
      <c r="AQ96" s="183">
        <f t="shared" si="333"/>
        <v>399922.60000000003</v>
      </c>
      <c r="AR96" s="182"/>
      <c r="AS96" s="182">
        <f t="shared" si="334"/>
        <v>0</v>
      </c>
      <c r="AT96" s="182">
        <v>1</v>
      </c>
      <c r="AU96" s="182">
        <f t="shared" ref="AU96:AU98" si="368">(AT96*$E96*$F96*$G96*$M96*$AU$12)/12*10+(AT96*$E96*$F96*$G96*$M96*$AU$13)/12+(AT96*$E96*$F96*$G96*$M96*$AU$14*$AU$15)/12</f>
        <v>25138.396597020001</v>
      </c>
      <c r="AV96" s="188"/>
      <c r="AW96" s="182"/>
      <c r="AX96" s="182">
        <v>3</v>
      </c>
      <c r="AY96" s="187">
        <f>(AX96*$E96*$F96*$G96*$M96*$AY$12)</f>
        <v>71986.067999999999</v>
      </c>
      <c r="AZ96" s="182"/>
      <c r="BA96" s="182"/>
      <c r="BB96" s="182"/>
      <c r="BC96" s="182"/>
      <c r="BD96" s="182"/>
      <c r="BE96" s="182"/>
      <c r="BF96" s="182"/>
      <c r="BG96" s="182"/>
      <c r="BH96" s="182"/>
      <c r="BI96" s="183"/>
      <c r="BJ96" s="182"/>
      <c r="BK96" s="183"/>
      <c r="BL96" s="182"/>
      <c r="BM96" s="182">
        <f t="shared" si="336"/>
        <v>0</v>
      </c>
      <c r="BN96" s="182">
        <v>1136</v>
      </c>
      <c r="BO96" s="182">
        <f t="shared" si="337"/>
        <v>27258724.416000001</v>
      </c>
      <c r="BP96" s="182">
        <v>500</v>
      </c>
      <c r="BQ96" s="182">
        <f>(BP96/12*11*$E96*$F96*$G96*$M96*$BQ$12)+(BP96/12*$E96*$F96*$G96*$M96*$BQ$14*$BQ$15)</f>
        <v>11730120.691449998</v>
      </c>
      <c r="BR96" s="182"/>
      <c r="BS96" s="183"/>
      <c r="BT96" s="182">
        <v>115</v>
      </c>
      <c r="BU96" s="182">
        <f t="shared" si="367"/>
        <v>2794589.7604071996</v>
      </c>
      <c r="BV96" s="182">
        <v>96</v>
      </c>
      <c r="BW96" s="182">
        <f t="shared" si="339"/>
        <v>1884726.1439999999</v>
      </c>
      <c r="BX96" s="182">
        <v>150</v>
      </c>
      <c r="BY96" s="183">
        <f t="shared" si="340"/>
        <v>4413007.735919999</v>
      </c>
      <c r="BZ96" s="182">
        <f>354-172</f>
        <v>182</v>
      </c>
      <c r="CA96" s="187">
        <f t="shared" si="341"/>
        <v>5188676.1604859997</v>
      </c>
      <c r="CB96" s="182">
        <v>15</v>
      </c>
      <c r="CC96" s="182">
        <f>(CB96*$E96*$F96*$G96*$L96*$CC$12)/12*11+(CB96*$E96*$F96*$G96*$L96*$CC$12*$CC$15)/12</f>
        <v>323969.11802499997</v>
      </c>
      <c r="CD96" s="182">
        <v>60</v>
      </c>
      <c r="CE96" s="182">
        <f>(CD96*$E96*$F96*$G96*$L96*$CE$12)</f>
        <v>1090698</v>
      </c>
      <c r="CF96" s="182"/>
      <c r="CG96" s="182"/>
      <c r="CH96" s="182">
        <v>200</v>
      </c>
      <c r="CI96" s="182">
        <f t="shared" si="342"/>
        <v>4862048.1025200002</v>
      </c>
      <c r="CJ96" s="182"/>
      <c r="CK96" s="182"/>
      <c r="CL96" s="182"/>
      <c r="CM96" s="183"/>
      <c r="CN96" s="182"/>
      <c r="CO96" s="183">
        <f t="shared" si="343"/>
        <v>0</v>
      </c>
      <c r="CP96" s="182">
        <v>247</v>
      </c>
      <c r="CQ96" s="182">
        <f t="shared" si="362"/>
        <v>4976401.2436319999</v>
      </c>
      <c r="CR96" s="182">
        <v>350</v>
      </c>
      <c r="CS96" s="182">
        <f t="shared" si="363"/>
        <v>7627685.8783416664</v>
      </c>
      <c r="CT96" s="182">
        <f>144+5</f>
        <v>149</v>
      </c>
      <c r="CU96" s="182">
        <f t="shared" si="346"/>
        <v>2843426.2359929997</v>
      </c>
      <c r="CV96" s="182">
        <v>196</v>
      </c>
      <c r="CW96" s="182">
        <v>4901596.4599999981</v>
      </c>
      <c r="CX96" s="182">
        <v>243</v>
      </c>
      <c r="CY96" s="182">
        <f>(CX96/12*11*$E96*$F96*$G96*$M96*$CY$12)+(CX96/12*$E96*$F96*$G96*$M96*$CY$15*$CY$12)</f>
        <v>5720562.0206531994</v>
      </c>
      <c r="CZ96" s="182"/>
      <c r="DA96" s="182">
        <v>0</v>
      </c>
      <c r="DB96" s="188">
        <v>275</v>
      </c>
      <c r="DC96" s="182">
        <f t="shared" si="348"/>
        <v>5398955.1000000006</v>
      </c>
      <c r="DD96" s="182"/>
      <c r="DE96" s="187"/>
      <c r="DF96" s="182">
        <f>50+172</f>
        <v>222</v>
      </c>
      <c r="DG96" s="182">
        <f t="shared" si="349"/>
        <v>4842699.12</v>
      </c>
      <c r="DH96" s="189">
        <f>ROUND(9*0.75,0)</f>
        <v>7</v>
      </c>
      <c r="DI96" s="182">
        <f>(DH96*$E96*$F96*$G96*$M96*$DI$12)</f>
        <v>152697.72</v>
      </c>
      <c r="DJ96" s="182">
        <v>216</v>
      </c>
      <c r="DK96" s="182">
        <f t="shared" si="366"/>
        <v>5134425.9326639995</v>
      </c>
      <c r="DL96" s="182">
        <f>ROUND(78*0.75,0)</f>
        <v>59</v>
      </c>
      <c r="DM96" s="182">
        <f t="shared" si="352"/>
        <v>1708370.665</v>
      </c>
      <c r="DN96" s="182">
        <f>ROUND(224*0.75,0)</f>
        <v>168</v>
      </c>
      <c r="DO96" s="190">
        <f t="shared" si="353"/>
        <v>5606187.7199999997</v>
      </c>
      <c r="DP96" s="187"/>
      <c r="DQ96" s="187"/>
      <c r="DR96" s="183">
        <f t="shared" si="354"/>
        <v>5710</v>
      </c>
      <c r="DS96" s="183">
        <f t="shared" si="354"/>
        <v>133906332.03968908</v>
      </c>
      <c r="DT96" s="182">
        <v>5710</v>
      </c>
      <c r="DU96" s="182">
        <v>128674646.06866665</v>
      </c>
      <c r="DV96" s="167">
        <f t="shared" si="319"/>
        <v>0</v>
      </c>
      <c r="DW96" s="167">
        <f t="shared" si="319"/>
        <v>5231685.9710224271</v>
      </c>
    </row>
    <row r="97" spans="1:127" ht="21.75" customHeight="1" x14ac:dyDescent="0.25">
      <c r="A97" s="154"/>
      <c r="B97" s="176">
        <v>70</v>
      </c>
      <c r="C97" s="177" t="s">
        <v>286</v>
      </c>
      <c r="D97" s="210" t="s">
        <v>287</v>
      </c>
      <c r="E97" s="158">
        <v>25969</v>
      </c>
      <c r="F97" s="240">
        <v>1</v>
      </c>
      <c r="G97" s="168">
        <v>1</v>
      </c>
      <c r="H97" s="169"/>
      <c r="I97" s="169"/>
      <c r="J97" s="169"/>
      <c r="K97" s="106"/>
      <c r="L97" s="180">
        <v>1.4</v>
      </c>
      <c r="M97" s="180">
        <v>1.68</v>
      </c>
      <c r="N97" s="180">
        <v>2.23</v>
      </c>
      <c r="O97" s="181">
        <v>2.57</v>
      </c>
      <c r="P97" s="182"/>
      <c r="Q97" s="182">
        <f t="shared" si="327"/>
        <v>0</v>
      </c>
      <c r="R97" s="182"/>
      <c r="S97" s="182"/>
      <c r="T97" s="182">
        <v>20</v>
      </c>
      <c r="U97" s="182">
        <f t="shared" si="329"/>
        <v>918004.14999999991</v>
      </c>
      <c r="V97" s="182"/>
      <c r="W97" s="183">
        <f t="shared" si="330"/>
        <v>0</v>
      </c>
      <c r="X97" s="183"/>
      <c r="Y97" s="183"/>
      <c r="Z97" s="183"/>
      <c r="AA97" s="183"/>
      <c r="AB97" s="182">
        <f t="shared" si="331"/>
        <v>0</v>
      </c>
      <c r="AC97" s="182">
        <f t="shared" si="331"/>
        <v>0</v>
      </c>
      <c r="AD97" s="182"/>
      <c r="AE97" s="182"/>
      <c r="AF97" s="182"/>
      <c r="AG97" s="182"/>
      <c r="AH97" s="182"/>
      <c r="AI97" s="182"/>
      <c r="AJ97" s="182"/>
      <c r="AK97" s="182"/>
      <c r="AL97" s="182"/>
      <c r="AM97" s="182"/>
      <c r="AN97" s="182"/>
      <c r="AO97" s="182"/>
      <c r="AP97" s="182">
        <v>10</v>
      </c>
      <c r="AQ97" s="183">
        <f t="shared" si="333"/>
        <v>399922.60000000003</v>
      </c>
      <c r="AR97" s="182"/>
      <c r="AS97" s="182">
        <f t="shared" si="334"/>
        <v>0</v>
      </c>
      <c r="AT97" s="182"/>
      <c r="AU97" s="182">
        <f t="shared" si="368"/>
        <v>0</v>
      </c>
      <c r="AV97" s="188"/>
      <c r="AW97" s="182"/>
      <c r="AX97" s="182"/>
      <c r="AY97" s="187"/>
      <c r="AZ97" s="182"/>
      <c r="BA97" s="182"/>
      <c r="BB97" s="182"/>
      <c r="BC97" s="182"/>
      <c r="BD97" s="182"/>
      <c r="BE97" s="182"/>
      <c r="BF97" s="182"/>
      <c r="BG97" s="182"/>
      <c r="BH97" s="182"/>
      <c r="BI97" s="183"/>
      <c r="BJ97" s="182"/>
      <c r="BK97" s="183"/>
      <c r="BL97" s="182"/>
      <c r="BM97" s="182">
        <f t="shared" si="336"/>
        <v>0</v>
      </c>
      <c r="BN97" s="182"/>
      <c r="BO97" s="182">
        <f t="shared" si="337"/>
        <v>0</v>
      </c>
      <c r="BP97" s="182"/>
      <c r="BQ97" s="182"/>
      <c r="BR97" s="182"/>
      <c r="BS97" s="183"/>
      <c r="BT97" s="182"/>
      <c r="BU97" s="182">
        <f t="shared" si="338"/>
        <v>0</v>
      </c>
      <c r="BV97" s="182"/>
      <c r="BW97" s="182">
        <f t="shared" si="339"/>
        <v>0</v>
      </c>
      <c r="BX97" s="182">
        <v>3</v>
      </c>
      <c r="BY97" s="183">
        <f t="shared" si="340"/>
        <v>176520.30943679996</v>
      </c>
      <c r="BZ97" s="182"/>
      <c r="CA97" s="187">
        <f t="shared" ref="CA97:CA99" si="369">(BZ97*$E97*$F97*$G97*$M97*$CA$12)</f>
        <v>0</v>
      </c>
      <c r="CB97" s="182"/>
      <c r="CC97" s="182">
        <f>(CB97*$E97*$F97*$G97*$L97*$CC$12)</f>
        <v>0</v>
      </c>
      <c r="CD97" s="182"/>
      <c r="CE97" s="182">
        <f>(CD97*$E97*$F97*$G97*$L97*$CE$12)</f>
        <v>0</v>
      </c>
      <c r="CF97" s="182"/>
      <c r="CG97" s="182"/>
      <c r="CH97" s="182">
        <v>3</v>
      </c>
      <c r="CI97" s="182">
        <f t="shared" si="342"/>
        <v>145861.44307559999</v>
      </c>
      <c r="CJ97" s="182"/>
      <c r="CK97" s="182"/>
      <c r="CL97" s="182"/>
      <c r="CM97" s="183"/>
      <c r="CN97" s="182"/>
      <c r="CO97" s="183">
        <f t="shared" si="343"/>
        <v>0</v>
      </c>
      <c r="CP97" s="182"/>
      <c r="CQ97" s="182">
        <f t="shared" si="358"/>
        <v>0</v>
      </c>
      <c r="CR97" s="182">
        <v>28</v>
      </c>
      <c r="CS97" s="182">
        <f t="shared" si="363"/>
        <v>1220429.7405346665</v>
      </c>
      <c r="CT97" s="182">
        <f>50-25</f>
        <v>25</v>
      </c>
      <c r="CU97" s="182">
        <f t="shared" si="346"/>
        <v>954169.87785000005</v>
      </c>
      <c r="CV97" s="182"/>
      <c r="CW97" s="182">
        <v>0</v>
      </c>
      <c r="CX97" s="182"/>
      <c r="CY97" s="182">
        <f t="shared" si="360"/>
        <v>0</v>
      </c>
      <c r="CZ97" s="182"/>
      <c r="DA97" s="182">
        <v>0</v>
      </c>
      <c r="DB97" s="188"/>
      <c r="DC97" s="182">
        <f t="shared" si="348"/>
        <v>0</v>
      </c>
      <c r="DD97" s="182"/>
      <c r="DE97" s="187"/>
      <c r="DF97" s="182">
        <v>2</v>
      </c>
      <c r="DG97" s="182">
        <f t="shared" si="349"/>
        <v>87255.84</v>
      </c>
      <c r="DH97" s="189"/>
      <c r="DI97" s="182">
        <f t="shared" si="350"/>
        <v>0</v>
      </c>
      <c r="DJ97" s="182"/>
      <c r="DK97" s="182">
        <f t="shared" ref="DK97:DK99" si="370">(DJ97*$E97*$F97*$G97*$M97*$DK$12)</f>
        <v>0</v>
      </c>
      <c r="DL97" s="182"/>
      <c r="DM97" s="182">
        <f t="shared" si="352"/>
        <v>0</v>
      </c>
      <c r="DN97" s="182"/>
      <c r="DO97" s="190">
        <f t="shared" si="353"/>
        <v>0</v>
      </c>
      <c r="DP97" s="187"/>
      <c r="DQ97" s="187"/>
      <c r="DR97" s="183">
        <f t="shared" si="354"/>
        <v>91</v>
      </c>
      <c r="DS97" s="183">
        <f t="shared" si="354"/>
        <v>3902163.9608970662</v>
      </c>
      <c r="DT97" s="182">
        <v>91</v>
      </c>
      <c r="DU97" s="182">
        <v>3644870.3386666663</v>
      </c>
      <c r="DV97" s="167">
        <f t="shared" si="319"/>
        <v>0</v>
      </c>
      <c r="DW97" s="167">
        <f t="shared" si="319"/>
        <v>257293.62223039987</v>
      </c>
    </row>
    <row r="98" spans="1:127" ht="30" customHeight="1" x14ac:dyDescent="0.25">
      <c r="A98" s="154"/>
      <c r="B98" s="176">
        <v>71</v>
      </c>
      <c r="C98" s="177" t="s">
        <v>288</v>
      </c>
      <c r="D98" s="178" t="s">
        <v>289</v>
      </c>
      <c r="E98" s="158">
        <v>25969</v>
      </c>
      <c r="F98" s="201">
        <v>4.4000000000000004</v>
      </c>
      <c r="G98" s="168">
        <v>1</v>
      </c>
      <c r="H98" s="168"/>
      <c r="I98" s="168"/>
      <c r="J98" s="168"/>
      <c r="K98" s="106"/>
      <c r="L98" s="180">
        <v>1.4</v>
      </c>
      <c r="M98" s="180">
        <v>1.68</v>
      </c>
      <c r="N98" s="180">
        <v>2.23</v>
      </c>
      <c r="O98" s="181">
        <v>2.57</v>
      </c>
      <c r="P98" s="182">
        <v>1</v>
      </c>
      <c r="Q98" s="182">
        <f t="shared" si="327"/>
        <v>175965.94400000002</v>
      </c>
      <c r="R98" s="182"/>
      <c r="S98" s="182"/>
      <c r="T98" s="182">
        <v>0</v>
      </c>
      <c r="U98" s="182">
        <f t="shared" si="329"/>
        <v>0</v>
      </c>
      <c r="V98" s="182"/>
      <c r="W98" s="183">
        <f t="shared" si="330"/>
        <v>0</v>
      </c>
      <c r="X98" s="183"/>
      <c r="Y98" s="183"/>
      <c r="Z98" s="183"/>
      <c r="AA98" s="183"/>
      <c r="AB98" s="182">
        <f t="shared" si="331"/>
        <v>0</v>
      </c>
      <c r="AC98" s="182">
        <f t="shared" si="331"/>
        <v>0</v>
      </c>
      <c r="AD98" s="182"/>
      <c r="AE98" s="182"/>
      <c r="AF98" s="182"/>
      <c r="AG98" s="182"/>
      <c r="AH98" s="182"/>
      <c r="AI98" s="182"/>
      <c r="AJ98" s="182"/>
      <c r="AK98" s="182"/>
      <c r="AL98" s="182"/>
      <c r="AM98" s="182"/>
      <c r="AN98" s="182"/>
      <c r="AO98" s="182"/>
      <c r="AP98" s="182">
        <v>10</v>
      </c>
      <c r="AQ98" s="183">
        <f t="shared" si="333"/>
        <v>1759659.44</v>
      </c>
      <c r="AR98" s="182"/>
      <c r="AS98" s="182">
        <f t="shared" si="334"/>
        <v>0</v>
      </c>
      <c r="AT98" s="182">
        <v>1</v>
      </c>
      <c r="AU98" s="182">
        <f t="shared" si="368"/>
        <v>221217.89005377603</v>
      </c>
      <c r="AV98" s="188"/>
      <c r="AW98" s="182"/>
      <c r="AX98" s="182"/>
      <c r="AY98" s="187"/>
      <c r="AZ98" s="182"/>
      <c r="BA98" s="182"/>
      <c r="BB98" s="182"/>
      <c r="BC98" s="182"/>
      <c r="BD98" s="182"/>
      <c r="BE98" s="182"/>
      <c r="BF98" s="182"/>
      <c r="BG98" s="182"/>
      <c r="BH98" s="182"/>
      <c r="BI98" s="183"/>
      <c r="BJ98" s="182"/>
      <c r="BK98" s="183"/>
      <c r="BL98" s="182"/>
      <c r="BM98" s="182">
        <f t="shared" si="336"/>
        <v>0</v>
      </c>
      <c r="BN98" s="182">
        <v>300</v>
      </c>
      <c r="BO98" s="182">
        <f t="shared" si="337"/>
        <v>63347739.840000004</v>
      </c>
      <c r="BP98" s="182"/>
      <c r="BQ98" s="182"/>
      <c r="BR98" s="182"/>
      <c r="BS98" s="183"/>
      <c r="BT98" s="182"/>
      <c r="BU98" s="182">
        <f t="shared" si="338"/>
        <v>0</v>
      </c>
      <c r="BV98" s="182"/>
      <c r="BW98" s="182">
        <f t="shared" si="339"/>
        <v>0</v>
      </c>
      <c r="BX98" s="182"/>
      <c r="BY98" s="183">
        <f t="shared" ref="BY98:BY99" si="371">(BX98*$E98*$F98*$G98*$M98*$BY$12)</f>
        <v>0</v>
      </c>
      <c r="BZ98" s="182"/>
      <c r="CA98" s="187">
        <f t="shared" si="369"/>
        <v>0</v>
      </c>
      <c r="CB98" s="182"/>
      <c r="CC98" s="182">
        <f>(CB98*$E98*$F98*$G98*$L98*$CC$12)</f>
        <v>0</v>
      </c>
      <c r="CD98" s="182"/>
      <c r="CE98" s="182">
        <f>(CD98*$E98*$F98*$G98*$L98*$CE$12)</f>
        <v>0</v>
      </c>
      <c r="CF98" s="182"/>
      <c r="CG98" s="182"/>
      <c r="CH98" s="182"/>
      <c r="CI98" s="182">
        <f t="shared" ref="CI98:CI99" si="372">(CH98*$E98*$F98*$G98*$M98*$CI$12)</f>
        <v>0</v>
      </c>
      <c r="CJ98" s="182"/>
      <c r="CK98" s="182"/>
      <c r="CL98" s="182"/>
      <c r="CM98" s="183"/>
      <c r="CN98" s="182"/>
      <c r="CO98" s="183">
        <f t="shared" si="343"/>
        <v>0</v>
      </c>
      <c r="CP98" s="182"/>
      <c r="CQ98" s="182">
        <f t="shared" si="358"/>
        <v>0</v>
      </c>
      <c r="CR98" s="182"/>
      <c r="CS98" s="182">
        <f t="shared" si="359"/>
        <v>0</v>
      </c>
      <c r="CT98" s="182"/>
      <c r="CU98" s="182">
        <f t="shared" si="346"/>
        <v>0</v>
      </c>
      <c r="CV98" s="182"/>
      <c r="CW98" s="182">
        <v>0</v>
      </c>
      <c r="CX98" s="182"/>
      <c r="CY98" s="182">
        <f t="shared" si="360"/>
        <v>0</v>
      </c>
      <c r="CZ98" s="182"/>
      <c r="DA98" s="182">
        <v>0</v>
      </c>
      <c r="DB98" s="188"/>
      <c r="DC98" s="182">
        <f t="shared" si="348"/>
        <v>0</v>
      </c>
      <c r="DD98" s="182"/>
      <c r="DE98" s="187"/>
      <c r="DF98" s="182"/>
      <c r="DG98" s="182">
        <f t="shared" si="349"/>
        <v>0</v>
      </c>
      <c r="DH98" s="189"/>
      <c r="DI98" s="182">
        <f t="shared" si="350"/>
        <v>0</v>
      </c>
      <c r="DJ98" s="182"/>
      <c r="DK98" s="182">
        <f t="shared" si="370"/>
        <v>0</v>
      </c>
      <c r="DL98" s="182"/>
      <c r="DM98" s="182">
        <f t="shared" si="352"/>
        <v>0</v>
      </c>
      <c r="DN98" s="182"/>
      <c r="DO98" s="190">
        <f t="shared" si="353"/>
        <v>0</v>
      </c>
      <c r="DP98" s="187"/>
      <c r="DQ98" s="187"/>
      <c r="DR98" s="183">
        <f t="shared" si="354"/>
        <v>312</v>
      </c>
      <c r="DS98" s="183">
        <f t="shared" si="354"/>
        <v>65504583.114053786</v>
      </c>
      <c r="DT98" s="182">
        <v>312</v>
      </c>
      <c r="DU98" s="182">
        <v>65499323.428000011</v>
      </c>
      <c r="DV98" s="167">
        <f t="shared" si="319"/>
        <v>0</v>
      </c>
      <c r="DW98" s="167">
        <f t="shared" si="319"/>
        <v>5259.6860537752509</v>
      </c>
    </row>
    <row r="99" spans="1:127" x14ac:dyDescent="0.25">
      <c r="A99" s="154"/>
      <c r="B99" s="176">
        <v>72</v>
      </c>
      <c r="C99" s="177" t="s">
        <v>290</v>
      </c>
      <c r="D99" s="210" t="s">
        <v>291</v>
      </c>
      <c r="E99" s="158">
        <v>25969</v>
      </c>
      <c r="F99" s="201">
        <v>2.2999999999999998</v>
      </c>
      <c r="G99" s="168">
        <v>1</v>
      </c>
      <c r="H99" s="169"/>
      <c r="I99" s="169"/>
      <c r="J99" s="169"/>
      <c r="K99" s="106"/>
      <c r="L99" s="180">
        <v>1.4</v>
      </c>
      <c r="M99" s="180">
        <v>1.68</v>
      </c>
      <c r="N99" s="180">
        <v>2.23</v>
      </c>
      <c r="O99" s="181">
        <v>2.57</v>
      </c>
      <c r="P99" s="182">
        <v>4</v>
      </c>
      <c r="Q99" s="182">
        <f t="shared" si="327"/>
        <v>367928.79200000002</v>
      </c>
      <c r="R99" s="182">
        <v>2</v>
      </c>
      <c r="S99" s="182">
        <f t="shared" ref="S99" si="373">(R99*$E99*$F99*$G99*$L99*$S$12)</f>
        <v>183964.39600000001</v>
      </c>
      <c r="T99" s="182">
        <v>3</v>
      </c>
      <c r="U99" s="182">
        <f t="shared" si="329"/>
        <v>316711.43174999999</v>
      </c>
      <c r="V99" s="182"/>
      <c r="W99" s="183">
        <f t="shared" si="330"/>
        <v>0</v>
      </c>
      <c r="X99" s="183"/>
      <c r="Y99" s="183"/>
      <c r="Z99" s="183"/>
      <c r="AA99" s="183"/>
      <c r="AB99" s="182">
        <f t="shared" si="331"/>
        <v>0</v>
      </c>
      <c r="AC99" s="182">
        <f t="shared" si="331"/>
        <v>0</v>
      </c>
      <c r="AD99" s="182"/>
      <c r="AE99" s="182"/>
      <c r="AF99" s="182"/>
      <c r="AG99" s="182"/>
      <c r="AH99" s="182"/>
      <c r="AI99" s="182"/>
      <c r="AJ99" s="182"/>
      <c r="AK99" s="182"/>
      <c r="AL99" s="182"/>
      <c r="AM99" s="182"/>
      <c r="AN99" s="182"/>
      <c r="AO99" s="182"/>
      <c r="AP99" s="182">
        <v>1</v>
      </c>
      <c r="AQ99" s="183">
        <f t="shared" si="333"/>
        <v>91982.198000000004</v>
      </c>
      <c r="AR99" s="182"/>
      <c r="AS99" s="182">
        <f t="shared" si="334"/>
        <v>0</v>
      </c>
      <c r="AT99" s="182"/>
      <c r="AU99" s="182">
        <f t="shared" ref="AU99" si="374">(AT99*$E99*$F99*$G99*$M99*$AU$12)</f>
        <v>0</v>
      </c>
      <c r="AV99" s="188"/>
      <c r="AW99" s="182"/>
      <c r="AX99" s="182"/>
      <c r="AY99" s="187"/>
      <c r="AZ99" s="182"/>
      <c r="BA99" s="182"/>
      <c r="BB99" s="182"/>
      <c r="BC99" s="182"/>
      <c r="BD99" s="182"/>
      <c r="BE99" s="182"/>
      <c r="BF99" s="182"/>
      <c r="BG99" s="182"/>
      <c r="BH99" s="182"/>
      <c r="BI99" s="183"/>
      <c r="BJ99" s="182"/>
      <c r="BK99" s="183"/>
      <c r="BL99" s="182"/>
      <c r="BM99" s="182">
        <f t="shared" si="336"/>
        <v>0</v>
      </c>
      <c r="BN99" s="182">
        <v>1</v>
      </c>
      <c r="BO99" s="182">
        <f t="shared" si="337"/>
        <v>110378.63759999999</v>
      </c>
      <c r="BP99" s="182"/>
      <c r="BQ99" s="182"/>
      <c r="BR99" s="182"/>
      <c r="BS99" s="183"/>
      <c r="BT99" s="182"/>
      <c r="BU99" s="182">
        <f t="shared" si="338"/>
        <v>0</v>
      </c>
      <c r="BV99" s="182"/>
      <c r="BW99" s="182">
        <f t="shared" si="339"/>
        <v>0</v>
      </c>
      <c r="BX99" s="182"/>
      <c r="BY99" s="183">
        <f t="shared" si="371"/>
        <v>0</v>
      </c>
      <c r="BZ99" s="182"/>
      <c r="CA99" s="187">
        <f t="shared" si="369"/>
        <v>0</v>
      </c>
      <c r="CB99" s="182"/>
      <c r="CC99" s="182">
        <f>(CB99*$E99*$F99*$G99*$L99*$CC$12)</f>
        <v>0</v>
      </c>
      <c r="CD99" s="182"/>
      <c r="CE99" s="182">
        <f>(CD99*$E99*$F99*$G99*$L99*$CE$12)</f>
        <v>0</v>
      </c>
      <c r="CF99" s="182"/>
      <c r="CG99" s="182"/>
      <c r="CH99" s="182"/>
      <c r="CI99" s="182">
        <f t="shared" si="372"/>
        <v>0</v>
      </c>
      <c r="CJ99" s="182"/>
      <c r="CK99" s="182"/>
      <c r="CL99" s="182"/>
      <c r="CM99" s="183"/>
      <c r="CN99" s="182"/>
      <c r="CO99" s="183">
        <f t="shared" si="343"/>
        <v>0</v>
      </c>
      <c r="CP99" s="182"/>
      <c r="CQ99" s="182">
        <f t="shared" si="358"/>
        <v>0</v>
      </c>
      <c r="CR99" s="182"/>
      <c r="CS99" s="182">
        <f t="shared" si="359"/>
        <v>0</v>
      </c>
      <c r="CT99" s="182"/>
      <c r="CU99" s="182">
        <f t="shared" ref="CU99" si="375">(CT99*$E99*$F99*$G99*$L99*$CU$12)</f>
        <v>0</v>
      </c>
      <c r="CV99" s="182"/>
      <c r="CW99" s="182">
        <v>0</v>
      </c>
      <c r="CX99" s="182"/>
      <c r="CY99" s="182">
        <f t="shared" si="360"/>
        <v>0</v>
      </c>
      <c r="CZ99" s="182"/>
      <c r="DA99" s="182">
        <v>0</v>
      </c>
      <c r="DB99" s="188"/>
      <c r="DC99" s="182">
        <f t="shared" si="348"/>
        <v>0</v>
      </c>
      <c r="DD99" s="182"/>
      <c r="DE99" s="187"/>
      <c r="DF99" s="182">
        <v>1</v>
      </c>
      <c r="DG99" s="182">
        <f t="shared" si="349"/>
        <v>100344.21599999999</v>
      </c>
      <c r="DH99" s="189"/>
      <c r="DI99" s="182">
        <f t="shared" si="350"/>
        <v>0</v>
      </c>
      <c r="DJ99" s="182"/>
      <c r="DK99" s="182">
        <f t="shared" si="370"/>
        <v>0</v>
      </c>
      <c r="DL99" s="182"/>
      <c r="DM99" s="182">
        <f t="shared" si="352"/>
        <v>0</v>
      </c>
      <c r="DN99" s="182"/>
      <c r="DO99" s="190">
        <f t="shared" si="353"/>
        <v>0</v>
      </c>
      <c r="DP99" s="187"/>
      <c r="DQ99" s="187"/>
      <c r="DR99" s="183">
        <f t="shared" si="354"/>
        <v>12</v>
      </c>
      <c r="DS99" s="183">
        <f t="shared" si="354"/>
        <v>1171309.67135</v>
      </c>
      <c r="DT99" s="182">
        <v>10</v>
      </c>
      <c r="DU99" s="182">
        <v>984209.51859999995</v>
      </c>
      <c r="DV99" s="167">
        <f t="shared" si="319"/>
        <v>2</v>
      </c>
      <c r="DW99" s="167">
        <f t="shared" si="319"/>
        <v>187100.15275000001</v>
      </c>
    </row>
    <row r="100" spans="1:127" ht="27.75" customHeight="1" x14ac:dyDescent="0.25">
      <c r="A100" s="154"/>
      <c r="B100" s="176">
        <v>73</v>
      </c>
      <c r="C100" s="177" t="s">
        <v>292</v>
      </c>
      <c r="D100" s="210" t="s">
        <v>293</v>
      </c>
      <c r="E100" s="158">
        <v>25969</v>
      </c>
      <c r="F100" s="201">
        <v>1.89</v>
      </c>
      <c r="G100" s="203">
        <v>0.8</v>
      </c>
      <c r="H100" s="203"/>
      <c r="I100" s="203"/>
      <c r="J100" s="203"/>
      <c r="K100" s="195">
        <v>0.91120000000000001</v>
      </c>
      <c r="L100" s="180">
        <v>1.4</v>
      </c>
      <c r="M100" s="180">
        <v>1.68</v>
      </c>
      <c r="N100" s="180">
        <v>2.23</v>
      </c>
      <c r="O100" s="181">
        <v>2.57</v>
      </c>
      <c r="P100" s="182"/>
      <c r="Q100" s="196">
        <f>(P100*$E100*$F100*((1-$K100)+$K100*$L100*$G100*$Q$12))</f>
        <v>0</v>
      </c>
      <c r="R100" s="196"/>
      <c r="S100" s="241"/>
      <c r="T100" s="196">
        <v>2</v>
      </c>
      <c r="U100" s="196">
        <f t="shared" ref="U100:U101" si="376">(T100/12*11*$E100*$F100*((1-$K100)+$K100*$L100*U$12*$G100))+(T100/12*1*$E100*$F100*((1-$K100)+$K100*$L100*U$14*$G100))</f>
        <v>135193.44809577597</v>
      </c>
      <c r="V100" s="182"/>
      <c r="W100" s="241"/>
      <c r="X100" s="241"/>
      <c r="Y100" s="241"/>
      <c r="Z100" s="241"/>
      <c r="AA100" s="241"/>
      <c r="AB100" s="182">
        <f t="shared" si="331"/>
        <v>0</v>
      </c>
      <c r="AC100" s="182">
        <f t="shared" si="331"/>
        <v>0</v>
      </c>
      <c r="AD100" s="182"/>
      <c r="AE100" s="241"/>
      <c r="AF100" s="182"/>
      <c r="AG100" s="182"/>
      <c r="AH100" s="182"/>
      <c r="AI100" s="241"/>
      <c r="AJ100" s="196"/>
      <c r="AK100" s="196"/>
      <c r="AL100" s="182"/>
      <c r="AM100" s="182"/>
      <c r="AN100" s="182"/>
      <c r="AO100" s="241"/>
      <c r="AP100" s="182">
        <v>384</v>
      </c>
      <c r="AQ100" s="196">
        <f>(AP100*$E100*$F100*((1-$K100)+$K100*$L100*$G100*$AQ$12))</f>
        <v>22831542.352797695</v>
      </c>
      <c r="AR100" s="182"/>
      <c r="AS100" s="241"/>
      <c r="AT100" s="182"/>
      <c r="AU100" s="196">
        <f>(AT100*$E100*$F100*((1-$K100)+$K100*$M100*$G100*$AU$12))</f>
        <v>0</v>
      </c>
      <c r="AV100" s="188"/>
      <c r="AW100" s="241"/>
      <c r="AX100" s="182"/>
      <c r="AY100" s="241"/>
      <c r="AZ100" s="182"/>
      <c r="BA100" s="182"/>
      <c r="BB100" s="182"/>
      <c r="BC100" s="182"/>
      <c r="BD100" s="182"/>
      <c r="BE100" s="182"/>
      <c r="BF100" s="182"/>
      <c r="BG100" s="182"/>
      <c r="BH100" s="182"/>
      <c r="BI100" s="196"/>
      <c r="BJ100" s="182"/>
      <c r="BK100" s="182"/>
      <c r="BL100" s="182"/>
      <c r="BM100" s="241"/>
      <c r="BN100" s="182">
        <v>255</v>
      </c>
      <c r="BO100" s="196">
        <f>(BN100*$E100*$F100*((1-$K100)+$K100*$M100*$G100*$BO$12))</f>
        <v>17971605.422777664</v>
      </c>
      <c r="BP100" s="182"/>
      <c r="BQ100" s="182"/>
      <c r="BR100" s="182"/>
      <c r="BS100" s="182"/>
      <c r="BT100" s="182"/>
      <c r="BU100" s="196">
        <f>BT100*$E100*$F100*((1-$K100)+$K100*$G100*BU$12*$M100)</f>
        <v>0</v>
      </c>
      <c r="BV100" s="182"/>
      <c r="BW100" s="196">
        <f>(BV100*$E100*$F100*((1-$K100)+$K100*$G100*BW$12*$M100))</f>
        <v>0</v>
      </c>
      <c r="BX100" s="182"/>
      <c r="BY100" s="196">
        <f>(BX100*$E100*$F100*((1-$K100)+$K100*$M100*$BY$12*$G100))</f>
        <v>0</v>
      </c>
      <c r="BZ100" s="182">
        <v>2</v>
      </c>
      <c r="CA100" s="196">
        <f t="shared" ref="CA100:CA103" si="377">(BZ100*$E100*$F100*((1-$K100)+$K100*$G100*CA$12*$M100))/12*11+(BZ100*$E100*$F100*((1-$K100)+$K100*$G100*CA$12*$M100*$CA$15))/12</f>
        <v>165829.33394921938</v>
      </c>
      <c r="CB100" s="182"/>
      <c r="CC100" s="196">
        <f t="shared" ref="CC100:CC103" si="378">(CB100*$E100*$F100*((1-$K100)+$K100*$G100*CC$12*$L100))</f>
        <v>0</v>
      </c>
      <c r="CD100" s="182"/>
      <c r="CE100" s="196">
        <f t="shared" ref="CE100:CE103" si="379">(CD100*$E100*$F100*((1-$K100)+$K100*$G100*CE$12*$L100))</f>
        <v>0</v>
      </c>
      <c r="CF100" s="182"/>
      <c r="CG100" s="182"/>
      <c r="CH100" s="182"/>
      <c r="CI100" s="196">
        <f t="shared" ref="CI100:CI102" si="380">(CH100*$E100*$F100*((1-$K100)+$K100*$G100*CI$12*$M100))</f>
        <v>0</v>
      </c>
      <c r="CJ100" s="182"/>
      <c r="CK100" s="182"/>
      <c r="CL100" s="182"/>
      <c r="CM100" s="182"/>
      <c r="CN100" s="182"/>
      <c r="CO100" s="196">
        <f t="shared" ref="CO100:CO102" si="381">(CN100*$E100*$F100*((1-$K100)+$K100*$G100*CO$12*$L100))</f>
        <v>0</v>
      </c>
      <c r="CP100" s="182"/>
      <c r="CQ100" s="196">
        <f t="shared" ref="CQ100:CQ103" si="382">(CP100*$E100*$F100*((1-$K100)+$K100*$G100*CQ$12*$L100))</f>
        <v>0</v>
      </c>
      <c r="CR100" s="182">
        <v>4</v>
      </c>
      <c r="CS100" s="196">
        <f t="shared" ref="CS100:CS101" si="383">(CR100*$E100*$F100*((1-$K100)+$K100*$G100*CS$12*$L100))/12*10+(CR100*$E100*$F100*((1-$K100)+$K100*$G100*CS$13*$L100))/12+(CR100*$E100*$F100*((1-$K100)+$K100*$G100*CS$13*$L100*$CS$15))/12</f>
        <v>257637.72202024068</v>
      </c>
      <c r="CT100" s="182"/>
      <c r="CU100" s="206">
        <f>CT100*$E100*$F100*((1-$K100)+$K100*$L100*$CU$12*$G100)</f>
        <v>0</v>
      </c>
      <c r="CV100" s="182"/>
      <c r="CW100" s="196">
        <v>0</v>
      </c>
      <c r="CX100" s="182">
        <v>17</v>
      </c>
      <c r="CY100" s="196">
        <f>(CX100/12*11*$E100*$F100*((1-$K100)+$K100*$G100*CY$12*$M100))+(CX100/12*$E100*$F100*((1-$K100)+$K100*$G100*CY$12*$M100*$CY$15))</f>
        <v>1176842.7320437056</v>
      </c>
      <c r="CZ100" s="182"/>
      <c r="DA100" s="196">
        <v>0</v>
      </c>
      <c r="DB100" s="188"/>
      <c r="DC100" s="196">
        <f>(DB100*$E100*$F100*((1-$K100)+$K100*$G100*DC$12*$M100))</f>
        <v>0</v>
      </c>
      <c r="DD100" s="182"/>
      <c r="DE100" s="187"/>
      <c r="DF100" s="182"/>
      <c r="DG100" s="182"/>
      <c r="DH100" s="189"/>
      <c r="DI100" s="196">
        <f t="shared" ref="DI100:DI103" si="384">(DH100*$E100*$F100*((1-$K100)+$K100*$G100*DI$12*$M100))</f>
        <v>0</v>
      </c>
      <c r="DJ100" s="182">
        <v>2</v>
      </c>
      <c r="DK100" s="196">
        <f t="shared" ref="DK100:DK101" si="385">(DJ100*$E100*$F100*((1-$K100)+$K100*$G100*DK$12*$M100))/12*11+(DJ100*$E100*$F100*((1-$K100)+$K100*$G100*DK$12*$M100*$DK$15))/12</f>
        <v>139714.54789161624</v>
      </c>
      <c r="DL100" s="182"/>
      <c r="DM100" s="196">
        <f t="shared" ref="DM100:DM103" si="386">(DL100*$E100*$F100*((1-$K100)+$K100*$G100*DM$12*$N100))</f>
        <v>0</v>
      </c>
      <c r="DN100" s="182"/>
      <c r="DO100" s="196">
        <f>(DN100*$E100*$F100*((1-$K100)+$K100*$G100*DO$12*$O100))</f>
        <v>0</v>
      </c>
      <c r="DP100" s="191"/>
      <c r="DQ100" s="191"/>
      <c r="DR100" s="183">
        <f t="shared" si="354"/>
        <v>666</v>
      </c>
      <c r="DS100" s="183">
        <f t="shared" si="354"/>
        <v>42678365.559575915</v>
      </c>
      <c r="DT100" s="182">
        <v>666</v>
      </c>
      <c r="DU100" s="182">
        <v>42539391.78050258</v>
      </c>
      <c r="DV100" s="167">
        <f t="shared" si="319"/>
        <v>0</v>
      </c>
      <c r="DW100" s="167">
        <f t="shared" si="319"/>
        <v>138973.77907333523</v>
      </c>
    </row>
    <row r="101" spans="1:127" ht="30" customHeight="1" x14ac:dyDescent="0.25">
      <c r="A101" s="154"/>
      <c r="B101" s="176">
        <v>74</v>
      </c>
      <c r="C101" s="177" t="s">
        <v>294</v>
      </c>
      <c r="D101" s="210" t="s">
        <v>295</v>
      </c>
      <c r="E101" s="158">
        <v>25969</v>
      </c>
      <c r="F101" s="201">
        <v>4.08</v>
      </c>
      <c r="G101" s="203">
        <v>0.8</v>
      </c>
      <c r="H101" s="203"/>
      <c r="I101" s="203"/>
      <c r="J101" s="203"/>
      <c r="K101" s="195">
        <v>0.61299999999999999</v>
      </c>
      <c r="L101" s="180">
        <v>1.4</v>
      </c>
      <c r="M101" s="180">
        <v>1.68</v>
      </c>
      <c r="N101" s="180">
        <v>2.23</v>
      </c>
      <c r="O101" s="181">
        <v>2.57</v>
      </c>
      <c r="P101" s="182"/>
      <c r="Q101" s="196">
        <f>(P101*$E101*$F101*((1-$K101)+$K101*$L101*$G101*$Q$12))</f>
        <v>0</v>
      </c>
      <c r="R101" s="182">
        <v>1</v>
      </c>
      <c r="S101" s="182">
        <f>(R101*$E101*$F101*((1-$K101)+$K101*$L101*$G101*$Q$12))</f>
        <v>121021.80580032001</v>
      </c>
      <c r="T101" s="196">
        <v>64</v>
      </c>
      <c r="U101" s="196">
        <f t="shared" si="376"/>
        <v>8501927.4376089592</v>
      </c>
      <c r="V101" s="182"/>
      <c r="W101" s="241"/>
      <c r="X101" s="241"/>
      <c r="Y101" s="241"/>
      <c r="Z101" s="241"/>
      <c r="AA101" s="241"/>
      <c r="AB101" s="182">
        <f t="shared" si="331"/>
        <v>0</v>
      </c>
      <c r="AC101" s="182">
        <f t="shared" si="331"/>
        <v>0</v>
      </c>
      <c r="AD101" s="182"/>
      <c r="AE101" s="241"/>
      <c r="AF101" s="182"/>
      <c r="AG101" s="182"/>
      <c r="AH101" s="182"/>
      <c r="AI101" s="241"/>
      <c r="AJ101" s="196"/>
      <c r="AK101" s="196"/>
      <c r="AL101" s="182"/>
      <c r="AM101" s="182"/>
      <c r="AN101" s="182"/>
      <c r="AO101" s="241"/>
      <c r="AP101" s="182">
        <v>431</v>
      </c>
      <c r="AQ101" s="196">
        <f>(AP101*$E101*$F101*((1-$K101)+$K101*$L101*$G101*$AQ$12))</f>
        <v>52160398.299937919</v>
      </c>
      <c r="AR101" s="182"/>
      <c r="AS101" s="241"/>
      <c r="AT101" s="182"/>
      <c r="AU101" s="196">
        <f>(AT101*$E101*$F101*((1-$K101)+$K101*$M101*$G101*$AU$12))</f>
        <v>0</v>
      </c>
      <c r="AV101" s="188"/>
      <c r="AW101" s="241"/>
      <c r="AX101" s="182"/>
      <c r="AY101" s="241"/>
      <c r="AZ101" s="182"/>
      <c r="BA101" s="182"/>
      <c r="BB101" s="182"/>
      <c r="BC101" s="182"/>
      <c r="BD101" s="182"/>
      <c r="BE101" s="182"/>
      <c r="BF101" s="182"/>
      <c r="BG101" s="182"/>
      <c r="BH101" s="182"/>
      <c r="BI101" s="196"/>
      <c r="BJ101" s="182"/>
      <c r="BK101" s="182"/>
      <c r="BL101" s="182"/>
      <c r="BM101" s="241"/>
      <c r="BN101" s="182">
        <v>312</v>
      </c>
      <c r="BO101" s="196">
        <f>(BN101*$E101*$F101*((1-$K101)+$K101*$M101*$G101*$BO$12))</f>
        <v>42751913.727863811</v>
      </c>
      <c r="BP101" s="182"/>
      <c r="BQ101" s="182"/>
      <c r="BR101" s="182"/>
      <c r="BS101" s="182"/>
      <c r="BT101" s="182"/>
      <c r="BU101" s="196">
        <f t="shared" ref="BU101:BU103" si="387">BT101*$E101*$F101*((1-$K101)+$K101*$G101*BU$12*$M101)</f>
        <v>0</v>
      </c>
      <c r="BV101" s="182"/>
      <c r="BW101" s="196">
        <f>(BV101*$E101*$F101*((1-$K101)+$K101*$G101*BW$12*$M101))</f>
        <v>0</v>
      </c>
      <c r="BX101" s="182">
        <v>20</v>
      </c>
      <c r="BY101" s="196">
        <f>(BX101*$E101*$F101*((1-$K101)+$K101*$G101*BY$12*$M101))/12*11+(BX101*$E101*$F101*((1-$K101)+$K101*$G101*BY$12*$M101*$BY$15))/12</f>
        <v>3174663.4699403425</v>
      </c>
      <c r="BZ101" s="182"/>
      <c r="CA101" s="196">
        <f t="shared" si="377"/>
        <v>0</v>
      </c>
      <c r="CB101" s="182"/>
      <c r="CC101" s="196">
        <f t="shared" si="378"/>
        <v>0</v>
      </c>
      <c r="CD101" s="182"/>
      <c r="CE101" s="196">
        <f t="shared" si="379"/>
        <v>0</v>
      </c>
      <c r="CF101" s="182"/>
      <c r="CG101" s="182"/>
      <c r="CH101" s="182"/>
      <c r="CI101" s="196">
        <f t="shared" si="380"/>
        <v>0</v>
      </c>
      <c r="CJ101" s="182"/>
      <c r="CK101" s="182"/>
      <c r="CL101" s="182"/>
      <c r="CM101" s="182"/>
      <c r="CN101" s="182"/>
      <c r="CO101" s="196">
        <f t="shared" si="381"/>
        <v>0</v>
      </c>
      <c r="CP101" s="182"/>
      <c r="CQ101" s="196">
        <f>(CP101*$E101*$F101*((1-$K101)+$K101*$G101*CQ$12*$L101))</f>
        <v>0</v>
      </c>
      <c r="CR101" s="182">
        <v>13</v>
      </c>
      <c r="CS101" s="196">
        <f t="shared" si="383"/>
        <v>1666779.7813333916</v>
      </c>
      <c r="CT101" s="182"/>
      <c r="CU101" s="206">
        <f>CT101*$E101*$F101*((1-$K101)+$K101*$L101*$CU$12*$G101)</f>
        <v>0</v>
      </c>
      <c r="CV101" s="182"/>
      <c r="CW101" s="196">
        <v>0</v>
      </c>
      <c r="CX101" s="182">
        <v>5</v>
      </c>
      <c r="CY101" s="196">
        <f>(CX101/12*11*$E101*$F101*((1-$K101)+$K101*$G101*CY$12*$M101))+(CX101/12*$E101*$F101*((1-$K101)+$K101*$G101*CY$12*$M101*$CY$15))</f>
        <v>676044.0755583368</v>
      </c>
      <c r="CZ101" s="182"/>
      <c r="DA101" s="196">
        <v>0</v>
      </c>
      <c r="DB101" s="188"/>
      <c r="DC101" s="196">
        <f t="shared" ref="DC101:DC103" si="388">(DB101*$E101*$F101*((1-$K101)+$K101*$G101*DC$12*$M101))</f>
        <v>0</v>
      </c>
      <c r="DD101" s="182"/>
      <c r="DE101" s="187"/>
      <c r="DF101" s="182"/>
      <c r="DG101" s="182"/>
      <c r="DH101" s="189"/>
      <c r="DI101" s="196">
        <f t="shared" si="384"/>
        <v>0</v>
      </c>
      <c r="DJ101" s="182">
        <v>1</v>
      </c>
      <c r="DK101" s="196">
        <f t="shared" si="385"/>
        <v>136125.52805207385</v>
      </c>
      <c r="DL101" s="182"/>
      <c r="DM101" s="196">
        <f t="shared" si="386"/>
        <v>0</v>
      </c>
      <c r="DN101" s="182"/>
      <c r="DO101" s="196">
        <f>(DN101*$E101*$F101*((1-$K101)+$K101*$G101*DO$12*$O101))</f>
        <v>0</v>
      </c>
      <c r="DP101" s="191"/>
      <c r="DQ101" s="191"/>
      <c r="DR101" s="183">
        <f t="shared" si="354"/>
        <v>847</v>
      </c>
      <c r="DS101" s="183">
        <f t="shared" si="354"/>
        <v>109188874.12609515</v>
      </c>
      <c r="DT101" s="182">
        <v>847</v>
      </c>
      <c r="DU101" s="182">
        <v>108672174.13658638</v>
      </c>
      <c r="DV101" s="167">
        <f t="shared" si="319"/>
        <v>0</v>
      </c>
      <c r="DW101" s="167">
        <f t="shared" si="319"/>
        <v>516699.98950876296</v>
      </c>
    </row>
    <row r="102" spans="1:127" ht="30" customHeight="1" x14ac:dyDescent="0.25">
      <c r="A102" s="154"/>
      <c r="B102" s="176">
        <v>75</v>
      </c>
      <c r="C102" s="177" t="s">
        <v>296</v>
      </c>
      <c r="D102" s="178" t="s">
        <v>297</v>
      </c>
      <c r="E102" s="158">
        <v>25969</v>
      </c>
      <c r="F102" s="169">
        <v>6.17</v>
      </c>
      <c r="G102" s="203">
        <v>0.8</v>
      </c>
      <c r="H102" s="203"/>
      <c r="I102" s="203"/>
      <c r="J102" s="203"/>
      <c r="K102" s="195">
        <v>0.63239999999999996</v>
      </c>
      <c r="L102" s="180">
        <v>1.4</v>
      </c>
      <c r="M102" s="180">
        <v>1.68</v>
      </c>
      <c r="N102" s="180">
        <v>2.23</v>
      </c>
      <c r="O102" s="181">
        <v>2.57</v>
      </c>
      <c r="P102" s="182"/>
      <c r="Q102" s="196">
        <f>(P102*$E102*$F102*((1-$K102)+$K102*$L102*$G102*$Q$12))</f>
        <v>0</v>
      </c>
      <c r="R102" s="182">
        <v>1</v>
      </c>
      <c r="S102" s="182">
        <f>(R102*$E102*$F102*((1-$K102)+$K102*$L102*$G102*$Q$12))</f>
        <v>183736.97653366404</v>
      </c>
      <c r="T102" s="196"/>
      <c r="U102" s="196">
        <f t="shared" ref="U102" si="389">(T102*$E102*$F102*((1-$K102)+$K102*$L102*U$12*$G102))</f>
        <v>0</v>
      </c>
      <c r="V102" s="182"/>
      <c r="W102" s="241"/>
      <c r="X102" s="241"/>
      <c r="Y102" s="241"/>
      <c r="Z102" s="241"/>
      <c r="AA102" s="241"/>
      <c r="AB102" s="182">
        <f t="shared" si="331"/>
        <v>0</v>
      </c>
      <c r="AC102" s="182">
        <f t="shared" si="331"/>
        <v>0</v>
      </c>
      <c r="AD102" s="182"/>
      <c r="AE102" s="241"/>
      <c r="AF102" s="182"/>
      <c r="AG102" s="182"/>
      <c r="AH102" s="182"/>
      <c r="AI102" s="241"/>
      <c r="AJ102" s="196"/>
      <c r="AK102" s="196"/>
      <c r="AL102" s="182"/>
      <c r="AM102" s="182"/>
      <c r="AN102" s="182"/>
      <c r="AO102" s="241"/>
      <c r="AP102" s="182">
        <v>38</v>
      </c>
      <c r="AQ102" s="196">
        <f>(AP102*$E102*$F102*((1-$K102)+$K102*$L102*$G102*$AQ$12))</f>
        <v>6982005.1082792329</v>
      </c>
      <c r="AR102" s="182"/>
      <c r="AS102" s="241"/>
      <c r="AT102" s="182"/>
      <c r="AU102" s="196">
        <f>(AT102*$E102*$F102*((1-$K102)+$K102*$M102*$G102*$AU$12))</f>
        <v>0</v>
      </c>
      <c r="AV102" s="188"/>
      <c r="AW102" s="241"/>
      <c r="AX102" s="182"/>
      <c r="AY102" s="241"/>
      <c r="AZ102" s="182"/>
      <c r="BA102" s="182"/>
      <c r="BB102" s="182"/>
      <c r="BC102" s="182"/>
      <c r="BD102" s="182"/>
      <c r="BE102" s="182"/>
      <c r="BF102" s="182"/>
      <c r="BG102" s="182"/>
      <c r="BH102" s="182"/>
      <c r="BI102" s="196"/>
      <c r="BJ102" s="182"/>
      <c r="BK102" s="182"/>
      <c r="BL102" s="182"/>
      <c r="BM102" s="241"/>
      <c r="BN102" s="182">
        <v>36</v>
      </c>
      <c r="BO102" s="196">
        <f>(BN102*$E102*$F102*((1-$K102)+$K102*$M102*$G102*$BO$12))</f>
        <v>7513356.8019886846</v>
      </c>
      <c r="BP102" s="182"/>
      <c r="BQ102" s="182"/>
      <c r="BR102" s="182"/>
      <c r="BS102" s="182"/>
      <c r="BT102" s="182"/>
      <c r="BU102" s="196">
        <f t="shared" si="387"/>
        <v>0</v>
      </c>
      <c r="BV102" s="182"/>
      <c r="BW102" s="196">
        <f>(BV102*$E102*$F102*((1-$K102)+$K102*$G102*BW$12*$M102))</f>
        <v>0</v>
      </c>
      <c r="BX102" s="182"/>
      <c r="BY102" s="196">
        <f>(BX102*$E102*$F102*((1-$K102)+$K102*$M102*$BY$12*$G102))</f>
        <v>0</v>
      </c>
      <c r="BZ102" s="182">
        <v>1</v>
      </c>
      <c r="CA102" s="196">
        <f t="shared" si="377"/>
        <v>236884.58242280979</v>
      </c>
      <c r="CB102" s="182"/>
      <c r="CC102" s="196">
        <f>(CB102*$E102*$F102*((1-$K102)+$K102*$G102*CC$12*$L102))</f>
        <v>0</v>
      </c>
      <c r="CD102" s="182"/>
      <c r="CE102" s="196">
        <f>(CD102*$E102*$F102*((1-$K102)+$K102*$G102*CE$12*$L102))</f>
        <v>0</v>
      </c>
      <c r="CF102" s="182"/>
      <c r="CG102" s="182"/>
      <c r="CH102" s="182"/>
      <c r="CI102" s="196">
        <f t="shared" si="380"/>
        <v>0</v>
      </c>
      <c r="CJ102" s="182"/>
      <c r="CK102" s="182"/>
      <c r="CL102" s="182"/>
      <c r="CM102" s="182"/>
      <c r="CN102" s="182"/>
      <c r="CO102" s="196">
        <f t="shared" si="381"/>
        <v>0</v>
      </c>
      <c r="CP102" s="182"/>
      <c r="CQ102" s="196">
        <f>(CP102*$E102*$F102*((1-$K102)+$K102*$G102*CQ$12*$L102))</f>
        <v>0</v>
      </c>
      <c r="CR102" s="182"/>
      <c r="CS102" s="196">
        <f t="shared" ref="CS102:CS103" si="390">(CR102*$E102*$F102*((1-$K102)+$K102*$G102*CS$12*$L102))/12*10+(CR102*$E102*$F102*((1-$K102)+$K102*$G102*CS$13*$L102))/12*2</f>
        <v>0</v>
      </c>
      <c r="CT102" s="182"/>
      <c r="CU102" s="206">
        <f>CT102*$E102*$F102*((1-$K102)+$K102*$L102*$CU$12*$G102)</f>
        <v>0</v>
      </c>
      <c r="CV102" s="182"/>
      <c r="CW102" s="196">
        <v>0</v>
      </c>
      <c r="CX102" s="182"/>
      <c r="CY102" s="196">
        <f t="shared" ref="CY102:CY103" si="391">(CX102*$E102*$F102*((1-$K102)+$K102*$G102*CY$12*$M102))</f>
        <v>0</v>
      </c>
      <c r="CZ102" s="182"/>
      <c r="DA102" s="196">
        <v>0</v>
      </c>
      <c r="DB102" s="188"/>
      <c r="DC102" s="196">
        <f t="shared" si="388"/>
        <v>0</v>
      </c>
      <c r="DD102" s="182"/>
      <c r="DE102" s="187"/>
      <c r="DF102" s="182"/>
      <c r="DG102" s="182"/>
      <c r="DH102" s="189"/>
      <c r="DI102" s="196">
        <f t="shared" si="384"/>
        <v>0</v>
      </c>
      <c r="DJ102" s="182"/>
      <c r="DK102" s="196">
        <f t="shared" ref="DK102:DK103" si="392">(DJ102*$E102*$F102*((1-$K102)+$K102*$G102*DK$12*$M102))</f>
        <v>0</v>
      </c>
      <c r="DL102" s="182"/>
      <c r="DM102" s="196">
        <f t="shared" si="386"/>
        <v>0</v>
      </c>
      <c r="DN102" s="182"/>
      <c r="DO102" s="196">
        <f>(DN102*$E102*$F102*((1-$K102)+$K102*$G102*DO$12*$O102))</f>
        <v>0</v>
      </c>
      <c r="DP102" s="191"/>
      <c r="DQ102" s="191"/>
      <c r="DR102" s="183">
        <f t="shared" si="354"/>
        <v>76</v>
      </c>
      <c r="DS102" s="183">
        <f t="shared" si="354"/>
        <v>14915983.469224392</v>
      </c>
      <c r="DT102" s="182">
        <v>76</v>
      </c>
      <c r="DU102" s="182">
        <v>14901421.812818088</v>
      </c>
      <c r="DV102" s="167">
        <f t="shared" si="319"/>
        <v>0</v>
      </c>
      <c r="DW102" s="167">
        <f t="shared" si="319"/>
        <v>14561.656406303868</v>
      </c>
    </row>
    <row r="103" spans="1:127" ht="30.75" customHeight="1" x14ac:dyDescent="0.25">
      <c r="A103" s="154"/>
      <c r="B103" s="176">
        <v>76</v>
      </c>
      <c r="C103" s="177" t="s">
        <v>298</v>
      </c>
      <c r="D103" s="178" t="s">
        <v>299</v>
      </c>
      <c r="E103" s="158">
        <v>25969</v>
      </c>
      <c r="F103" s="169">
        <v>12.07</v>
      </c>
      <c r="G103" s="203">
        <v>0.8</v>
      </c>
      <c r="H103" s="203"/>
      <c r="I103" s="203"/>
      <c r="J103" s="203"/>
      <c r="K103" s="195">
        <v>0.77629999999999999</v>
      </c>
      <c r="L103" s="180">
        <v>1.4</v>
      </c>
      <c r="M103" s="180">
        <v>1.68</v>
      </c>
      <c r="N103" s="180">
        <v>2.23</v>
      </c>
      <c r="O103" s="181">
        <v>2.57</v>
      </c>
      <c r="P103" s="182"/>
      <c r="Q103" s="196">
        <f>(P103*$E103*$F103*((1-$K103)+$K103*$L103*$G103*$Q$12))</f>
        <v>0</v>
      </c>
      <c r="R103" s="196"/>
      <c r="S103" s="241"/>
      <c r="T103" s="196"/>
      <c r="U103" s="241"/>
      <c r="V103" s="182"/>
      <c r="W103" s="241"/>
      <c r="X103" s="241"/>
      <c r="Y103" s="241"/>
      <c r="Z103" s="241"/>
      <c r="AA103" s="241"/>
      <c r="AB103" s="182">
        <f t="shared" si="331"/>
        <v>0</v>
      </c>
      <c r="AC103" s="182">
        <f t="shared" si="331"/>
        <v>0</v>
      </c>
      <c r="AD103" s="182"/>
      <c r="AE103" s="241"/>
      <c r="AF103" s="182"/>
      <c r="AG103" s="182"/>
      <c r="AH103" s="182"/>
      <c r="AI103" s="241"/>
      <c r="AJ103" s="196"/>
      <c r="AK103" s="196"/>
      <c r="AL103" s="182"/>
      <c r="AM103" s="182"/>
      <c r="AN103" s="182"/>
      <c r="AO103" s="241"/>
      <c r="AP103" s="182">
        <f>9-1</f>
        <v>8</v>
      </c>
      <c r="AQ103" s="196">
        <f>(AP103*$E103*$F103*((1-$K103)+$K103*$L103*$G103*$AQ$12))</f>
        <v>2959183.4039706239</v>
      </c>
      <c r="AR103" s="182"/>
      <c r="AS103" s="241"/>
      <c r="AT103" s="182"/>
      <c r="AU103" s="196">
        <f>(AT103*$E103*$F103*((1-$K103)+$K103*$M103*$G103*$AU$12))</f>
        <v>0</v>
      </c>
      <c r="AV103" s="188"/>
      <c r="AW103" s="241"/>
      <c r="AX103" s="182"/>
      <c r="AY103" s="241"/>
      <c r="AZ103" s="182"/>
      <c r="BA103" s="182"/>
      <c r="BB103" s="182"/>
      <c r="BC103" s="182"/>
      <c r="BD103" s="182"/>
      <c r="BE103" s="182"/>
      <c r="BF103" s="182"/>
      <c r="BG103" s="182"/>
      <c r="BH103" s="182"/>
      <c r="BI103" s="196"/>
      <c r="BJ103" s="182"/>
      <c r="BK103" s="182"/>
      <c r="BL103" s="182"/>
      <c r="BM103" s="241"/>
      <c r="BN103" s="182">
        <v>6</v>
      </c>
      <c r="BO103" s="196">
        <f>(BN103*$E103*$F103*((1-$K103)+$K103*$M103*$G103*$BO$12))</f>
        <v>2579123.6649683621</v>
      </c>
      <c r="BP103" s="182"/>
      <c r="BQ103" s="182"/>
      <c r="BR103" s="182"/>
      <c r="BS103" s="182"/>
      <c r="BT103" s="182"/>
      <c r="BU103" s="196">
        <f t="shared" si="387"/>
        <v>0</v>
      </c>
      <c r="BV103" s="182"/>
      <c r="BW103" s="196">
        <f t="shared" ref="BW103" si="393">(BV103*$E103*$F103*((1-$K103)+$K103*$G103*BW$12*$M103))</f>
        <v>0</v>
      </c>
      <c r="BX103" s="182"/>
      <c r="BY103" s="196">
        <f>(BX103*$E103*$F103*((1-$K103)+$K103*$M103*$BY$12*$G103))</f>
        <v>0</v>
      </c>
      <c r="BZ103" s="182"/>
      <c r="CA103" s="196">
        <f t="shared" si="377"/>
        <v>0</v>
      </c>
      <c r="CB103" s="182"/>
      <c r="CC103" s="196">
        <f t="shared" si="378"/>
        <v>0</v>
      </c>
      <c r="CD103" s="182"/>
      <c r="CE103" s="196">
        <f t="shared" si="379"/>
        <v>0</v>
      </c>
      <c r="CF103" s="182"/>
      <c r="CG103" s="182"/>
      <c r="CH103" s="182"/>
      <c r="CI103" s="196">
        <f>(CH103*$E103*$F103*((1-$K103)+$K103*$G103*CI$12*$M103))</f>
        <v>0</v>
      </c>
      <c r="CJ103" s="182"/>
      <c r="CK103" s="182"/>
      <c r="CL103" s="182"/>
      <c r="CM103" s="182"/>
      <c r="CN103" s="182"/>
      <c r="CO103" s="196">
        <f>(CN103*$E103*$F103*((1-$K103)+$K103*$G103*CO$12*$L103))</f>
        <v>0</v>
      </c>
      <c r="CP103" s="182"/>
      <c r="CQ103" s="196">
        <f t="shared" si="382"/>
        <v>0</v>
      </c>
      <c r="CR103" s="182"/>
      <c r="CS103" s="196">
        <f t="shared" si="390"/>
        <v>0</v>
      </c>
      <c r="CT103" s="182"/>
      <c r="CU103" s="206">
        <f>CT103*$E103*$F103*((1-$K103)+$K103*$L103*$CU$12*$G103)</f>
        <v>0</v>
      </c>
      <c r="CV103" s="182"/>
      <c r="CW103" s="196">
        <v>0</v>
      </c>
      <c r="CX103" s="182"/>
      <c r="CY103" s="196">
        <f t="shared" si="391"/>
        <v>0</v>
      </c>
      <c r="CZ103" s="182"/>
      <c r="DA103" s="196">
        <v>0</v>
      </c>
      <c r="DB103" s="188"/>
      <c r="DC103" s="196">
        <f t="shared" si="388"/>
        <v>0</v>
      </c>
      <c r="DD103" s="182"/>
      <c r="DE103" s="187"/>
      <c r="DF103" s="182"/>
      <c r="DG103" s="182"/>
      <c r="DH103" s="189"/>
      <c r="DI103" s="196">
        <f t="shared" si="384"/>
        <v>0</v>
      </c>
      <c r="DJ103" s="182"/>
      <c r="DK103" s="196">
        <f t="shared" si="392"/>
        <v>0</v>
      </c>
      <c r="DL103" s="182"/>
      <c r="DM103" s="196">
        <f t="shared" si="386"/>
        <v>0</v>
      </c>
      <c r="DN103" s="182"/>
      <c r="DO103" s="196">
        <f t="shared" ref="DO103" si="394">(DN103*$E103*$F103*((1-$K103)+$K103*$G103*DO$12*$O103))</f>
        <v>0</v>
      </c>
      <c r="DP103" s="191"/>
      <c r="DQ103" s="191"/>
      <c r="DR103" s="183">
        <f t="shared" si="354"/>
        <v>14</v>
      </c>
      <c r="DS103" s="183">
        <f t="shared" si="354"/>
        <v>5538307.0689389855</v>
      </c>
      <c r="DT103" s="182">
        <v>14</v>
      </c>
      <c r="DU103" s="182">
        <v>5538307.0689389855</v>
      </c>
      <c r="DV103" s="167">
        <f t="shared" si="319"/>
        <v>0</v>
      </c>
      <c r="DW103" s="167">
        <f t="shared" si="319"/>
        <v>0</v>
      </c>
    </row>
    <row r="104" spans="1:127" ht="32.25" customHeight="1" x14ac:dyDescent="0.25">
      <c r="A104" s="154"/>
      <c r="B104" s="176">
        <v>77</v>
      </c>
      <c r="C104" s="177" t="s">
        <v>300</v>
      </c>
      <c r="D104" s="210" t="s">
        <v>301</v>
      </c>
      <c r="E104" s="158">
        <v>25969</v>
      </c>
      <c r="F104" s="169">
        <v>2.0699999999999998</v>
      </c>
      <c r="G104" s="168">
        <v>1</v>
      </c>
      <c r="H104" s="203"/>
      <c r="I104" s="203"/>
      <c r="J104" s="203"/>
      <c r="K104" s="106"/>
      <c r="L104" s="180">
        <v>1.4</v>
      </c>
      <c r="M104" s="180">
        <v>1.68</v>
      </c>
      <c r="N104" s="180">
        <v>2.23</v>
      </c>
      <c r="O104" s="181">
        <v>2.57</v>
      </c>
      <c r="P104" s="182"/>
      <c r="Q104" s="182">
        <f>(P104*$E104*$F104*$G104*$L104*$Q$12)</f>
        <v>0</v>
      </c>
      <c r="R104" s="182"/>
      <c r="S104" s="182"/>
      <c r="T104" s="182"/>
      <c r="U104" s="182">
        <f t="shared" ref="U104" si="395">(T104/12*11*$E104*$F104*$G104*$L104*$U$12)+(T104/12*1*$E104*$F104*$G104*$L104*$U$14)</f>
        <v>0</v>
      </c>
      <c r="V104" s="182"/>
      <c r="W104" s="183">
        <f>(V104*$E104*$F104*$G104*$L104*$W$12)/12*10+(V104*$E104*$F104*$G104*$L104*$W$13)/12*1++(V104*$E104*$F104*$G104*$L104*$W$14)/12*1</f>
        <v>0</v>
      </c>
      <c r="X104" s="183"/>
      <c r="Y104" s="183"/>
      <c r="Z104" s="183"/>
      <c r="AA104" s="183"/>
      <c r="AB104" s="182">
        <f t="shared" si="331"/>
        <v>0</v>
      </c>
      <c r="AC104" s="182">
        <f t="shared" si="331"/>
        <v>0</v>
      </c>
      <c r="AD104" s="182"/>
      <c r="AE104" s="182"/>
      <c r="AF104" s="182"/>
      <c r="AG104" s="182"/>
      <c r="AH104" s="182"/>
      <c r="AI104" s="182"/>
      <c r="AJ104" s="182"/>
      <c r="AK104" s="182"/>
      <c r="AL104" s="182"/>
      <c r="AM104" s="182"/>
      <c r="AN104" s="182"/>
      <c r="AO104" s="182"/>
      <c r="AP104" s="182"/>
      <c r="AQ104" s="183">
        <f>(AP104*$E104*$F104*$G104*$L104*$AQ$12)</f>
        <v>0</v>
      </c>
      <c r="AR104" s="182"/>
      <c r="AS104" s="182">
        <f>(AR104*$E104*$F104*$G104*$L104*$AS$12)/12*10+(AR104*$E104*$F104*$G104*$L104*$AS$13)/12*1+(AR104*$E104*$F104*$G104*$L104*$AS$14)/12*1</f>
        <v>0</v>
      </c>
      <c r="AT104" s="182"/>
      <c r="AU104" s="182"/>
      <c r="AV104" s="188"/>
      <c r="AW104" s="182"/>
      <c r="AX104" s="182"/>
      <c r="AY104" s="187"/>
      <c r="AZ104" s="182"/>
      <c r="BA104" s="182"/>
      <c r="BB104" s="182"/>
      <c r="BC104" s="182"/>
      <c r="BD104" s="182"/>
      <c r="BE104" s="182"/>
      <c r="BF104" s="182"/>
      <c r="BG104" s="182"/>
      <c r="BH104" s="182"/>
      <c r="BI104" s="183"/>
      <c r="BJ104" s="182"/>
      <c r="BK104" s="183"/>
      <c r="BL104" s="182"/>
      <c r="BM104" s="182"/>
      <c r="BN104" s="182"/>
      <c r="BO104" s="182"/>
      <c r="BP104" s="182"/>
      <c r="BQ104" s="182"/>
      <c r="BR104" s="182"/>
      <c r="BS104" s="183"/>
      <c r="BT104" s="182"/>
      <c r="BU104" s="182"/>
      <c r="BV104" s="182"/>
      <c r="BW104" s="182"/>
      <c r="BX104" s="182"/>
      <c r="BY104" s="183">
        <f>(BX104*$E104*$F104*$G104*$M104*$BY$12)</f>
        <v>0</v>
      </c>
      <c r="BZ104" s="182"/>
      <c r="CA104" s="187"/>
      <c r="CB104" s="182"/>
      <c r="CC104" s="182">
        <f>(CB104*$E104*$F104*$G104*$L104*$CC$12)</f>
        <v>0</v>
      </c>
      <c r="CD104" s="182"/>
      <c r="CE104" s="182">
        <f>(CD104*$E104*$F104*$G104*$L104*$CE$12)</f>
        <v>0</v>
      </c>
      <c r="CF104" s="182"/>
      <c r="CG104" s="182"/>
      <c r="CH104" s="182">
        <v>10</v>
      </c>
      <c r="CI104" s="182">
        <f t="shared" ref="CI104" si="396">(CH104*$E104*$F104*$G104*$M104*$CI$12)/12*11+(CH104*$E104*$F104*$G104*$M104*$CI$12*$CI$15)/12</f>
        <v>1006443.9572216399</v>
      </c>
      <c r="CJ104" s="182"/>
      <c r="CK104" s="182"/>
      <c r="CL104" s="182"/>
      <c r="CM104" s="183"/>
      <c r="CN104" s="182"/>
      <c r="CO104" s="183">
        <f>(CN104*$E104*$F104*$G104*$L104*$CO$12)</f>
        <v>0</v>
      </c>
      <c r="CP104" s="182"/>
      <c r="CQ104" s="182"/>
      <c r="CR104" s="182"/>
      <c r="CS104" s="182"/>
      <c r="CT104" s="182"/>
      <c r="CU104" s="182"/>
      <c r="CV104" s="182"/>
      <c r="CW104" s="182">
        <v>0</v>
      </c>
      <c r="CX104" s="182"/>
      <c r="CY104" s="182"/>
      <c r="CZ104" s="182"/>
      <c r="DA104" s="182">
        <v>0</v>
      </c>
      <c r="DB104" s="188"/>
      <c r="DC104" s="182">
        <f>(DB104*$E104*$F104*$G104*$M104*$DC$12)</f>
        <v>0</v>
      </c>
      <c r="DD104" s="182"/>
      <c r="DE104" s="187"/>
      <c r="DF104" s="182"/>
      <c r="DG104" s="182"/>
      <c r="DH104" s="189"/>
      <c r="DI104" s="182"/>
      <c r="DJ104" s="182"/>
      <c r="DK104" s="182"/>
      <c r="DL104" s="182"/>
      <c r="DM104" s="182">
        <f>(DL104*$E104*$F104*$G104*$N104*$DM$12)</f>
        <v>0</v>
      </c>
      <c r="DN104" s="182"/>
      <c r="DO104" s="190">
        <f>(DN104*$E104*$F104*$G104*$O104*$DO$12)</f>
        <v>0</v>
      </c>
      <c r="DP104" s="187"/>
      <c r="DQ104" s="187"/>
      <c r="DR104" s="183">
        <f t="shared" si="354"/>
        <v>10</v>
      </c>
      <c r="DS104" s="183">
        <f t="shared" si="354"/>
        <v>1006443.9572216399</v>
      </c>
      <c r="DT104" s="182">
        <v>10</v>
      </c>
      <c r="DU104" s="182">
        <v>903097.9439999999</v>
      </c>
      <c r="DV104" s="167">
        <f t="shared" si="319"/>
        <v>0</v>
      </c>
      <c r="DW104" s="167">
        <f t="shared" si="319"/>
        <v>103346.01322164002</v>
      </c>
    </row>
    <row r="105" spans="1:127" ht="15.75" customHeight="1" x14ac:dyDescent="0.25">
      <c r="A105" s="170">
        <v>13</v>
      </c>
      <c r="B105" s="197"/>
      <c r="C105" s="198"/>
      <c r="D105" s="211" t="s">
        <v>302</v>
      </c>
      <c r="E105" s="158">
        <v>25969</v>
      </c>
      <c r="F105" s="199">
        <v>1.49</v>
      </c>
      <c r="G105" s="171"/>
      <c r="H105" s="169"/>
      <c r="I105" s="169"/>
      <c r="J105" s="169"/>
      <c r="K105" s="173"/>
      <c r="L105" s="174">
        <v>1.4</v>
      </c>
      <c r="M105" s="174">
        <v>1.68</v>
      </c>
      <c r="N105" s="174">
        <v>2.23</v>
      </c>
      <c r="O105" s="175">
        <v>2.57</v>
      </c>
      <c r="P105" s="166">
        <f t="shared" ref="P105:AD105" si="397">SUM(P106:P114)</f>
        <v>548</v>
      </c>
      <c r="Q105" s="166">
        <f t="shared" si="397"/>
        <v>35665897.313199997</v>
      </c>
      <c r="R105" s="166">
        <f t="shared" ref="R105" si="398">SUM(R106:R114)</f>
        <v>1357</v>
      </c>
      <c r="S105" s="166">
        <f t="shared" si="397"/>
        <v>97059215.40699999</v>
      </c>
      <c r="T105" s="166">
        <f t="shared" si="397"/>
        <v>108</v>
      </c>
      <c r="U105" s="166">
        <f t="shared" si="397"/>
        <v>5951420.9044499993</v>
      </c>
      <c r="V105" s="166">
        <f t="shared" si="397"/>
        <v>0</v>
      </c>
      <c r="W105" s="166">
        <f t="shared" si="397"/>
        <v>0</v>
      </c>
      <c r="X105" s="166">
        <v>0</v>
      </c>
      <c r="Y105" s="166">
        <v>0</v>
      </c>
      <c r="Z105" s="166">
        <v>0</v>
      </c>
      <c r="AA105" s="166">
        <v>0</v>
      </c>
      <c r="AB105" s="166">
        <f t="shared" si="397"/>
        <v>0</v>
      </c>
      <c r="AC105" s="166">
        <f t="shared" si="397"/>
        <v>0</v>
      </c>
      <c r="AD105" s="166">
        <f t="shared" si="397"/>
        <v>0</v>
      </c>
      <c r="AE105" s="166">
        <f t="shared" ref="AE105:CP105" si="399">SUM(AE106:AE114)</f>
        <v>0</v>
      </c>
      <c r="AF105" s="166">
        <f t="shared" si="399"/>
        <v>0</v>
      </c>
      <c r="AG105" s="166">
        <f t="shared" si="399"/>
        <v>0</v>
      </c>
      <c r="AH105" s="166">
        <f t="shared" si="399"/>
        <v>443</v>
      </c>
      <c r="AI105" s="166">
        <f t="shared" si="399"/>
        <v>26534464.587400004</v>
      </c>
      <c r="AJ105" s="166">
        <f>SUM(AJ106:AJ114)</f>
        <v>0</v>
      </c>
      <c r="AK105" s="166">
        <f>SUM(AK106:AK114)</f>
        <v>0</v>
      </c>
      <c r="AL105" s="166">
        <f t="shared" si="399"/>
        <v>0</v>
      </c>
      <c r="AM105" s="166">
        <f t="shared" si="399"/>
        <v>0</v>
      </c>
      <c r="AN105" s="166">
        <f t="shared" si="399"/>
        <v>0</v>
      </c>
      <c r="AO105" s="166">
        <f t="shared" si="399"/>
        <v>0</v>
      </c>
      <c r="AP105" s="166">
        <f t="shared" si="399"/>
        <v>51</v>
      </c>
      <c r="AQ105" s="166">
        <f t="shared" si="399"/>
        <v>2440327.7052000007</v>
      </c>
      <c r="AR105" s="166">
        <f t="shared" si="399"/>
        <v>1043</v>
      </c>
      <c r="AS105" s="166">
        <f t="shared" si="399"/>
        <v>50989733.964816734</v>
      </c>
      <c r="AT105" s="166">
        <f t="shared" si="399"/>
        <v>615</v>
      </c>
      <c r="AU105" s="166">
        <f t="shared" si="399"/>
        <v>55936954.571825027</v>
      </c>
      <c r="AV105" s="166">
        <f t="shared" si="399"/>
        <v>0</v>
      </c>
      <c r="AW105" s="166">
        <f t="shared" si="399"/>
        <v>0</v>
      </c>
      <c r="AX105" s="166">
        <f t="shared" si="399"/>
        <v>44</v>
      </c>
      <c r="AY105" s="166">
        <f t="shared" si="399"/>
        <v>2787300.5529600005</v>
      </c>
      <c r="AZ105" s="166">
        <f t="shared" si="399"/>
        <v>0</v>
      </c>
      <c r="BA105" s="166">
        <f t="shared" si="399"/>
        <v>0</v>
      </c>
      <c r="BB105" s="166">
        <f t="shared" si="399"/>
        <v>0</v>
      </c>
      <c r="BC105" s="166">
        <f t="shared" si="399"/>
        <v>0</v>
      </c>
      <c r="BD105" s="166">
        <f t="shared" si="399"/>
        <v>0</v>
      </c>
      <c r="BE105" s="166">
        <f t="shared" si="399"/>
        <v>0</v>
      </c>
      <c r="BF105" s="166">
        <f t="shared" si="399"/>
        <v>0</v>
      </c>
      <c r="BG105" s="166">
        <f t="shared" si="399"/>
        <v>0</v>
      </c>
      <c r="BH105" s="166">
        <f t="shared" si="399"/>
        <v>0</v>
      </c>
      <c r="BI105" s="166">
        <f t="shared" si="399"/>
        <v>0</v>
      </c>
      <c r="BJ105" s="166">
        <f t="shared" si="399"/>
        <v>0</v>
      </c>
      <c r="BK105" s="166">
        <f t="shared" si="399"/>
        <v>0</v>
      </c>
      <c r="BL105" s="166">
        <f t="shared" si="399"/>
        <v>147</v>
      </c>
      <c r="BM105" s="166">
        <f t="shared" si="399"/>
        <v>8980102.45387486</v>
      </c>
      <c r="BN105" s="166">
        <f t="shared" si="399"/>
        <v>917</v>
      </c>
      <c r="BO105" s="166">
        <f t="shared" si="399"/>
        <v>72541800.444959998</v>
      </c>
      <c r="BP105" s="166">
        <f t="shared" si="399"/>
        <v>0</v>
      </c>
      <c r="BQ105" s="166">
        <f t="shared" si="399"/>
        <v>0</v>
      </c>
      <c r="BR105" s="166">
        <f t="shared" si="399"/>
        <v>0</v>
      </c>
      <c r="BS105" s="166">
        <f t="shared" si="399"/>
        <v>0</v>
      </c>
      <c r="BT105" s="166">
        <f t="shared" si="399"/>
        <v>176</v>
      </c>
      <c r="BU105" s="166">
        <f t="shared" si="399"/>
        <v>13072847.891379626</v>
      </c>
      <c r="BV105" s="166">
        <f t="shared" si="399"/>
        <v>52</v>
      </c>
      <c r="BW105" s="166">
        <f t="shared" si="399"/>
        <v>2381037.3619200001</v>
      </c>
      <c r="BX105" s="166">
        <f t="shared" si="399"/>
        <v>121</v>
      </c>
      <c r="BY105" s="166">
        <f t="shared" si="399"/>
        <v>9061964.285453856</v>
      </c>
      <c r="BZ105" s="166">
        <f t="shared" si="399"/>
        <v>164</v>
      </c>
      <c r="CA105" s="166">
        <f t="shared" si="399"/>
        <v>11326709.003082901</v>
      </c>
      <c r="CB105" s="166">
        <f t="shared" si="399"/>
        <v>0</v>
      </c>
      <c r="CC105" s="166">
        <f t="shared" si="399"/>
        <v>0</v>
      </c>
      <c r="CD105" s="166">
        <f t="shared" si="399"/>
        <v>0</v>
      </c>
      <c r="CE105" s="166">
        <f t="shared" si="399"/>
        <v>0</v>
      </c>
      <c r="CF105" s="166">
        <f t="shared" si="399"/>
        <v>0</v>
      </c>
      <c r="CG105" s="166">
        <f t="shared" si="399"/>
        <v>0</v>
      </c>
      <c r="CH105" s="166">
        <f t="shared" si="399"/>
        <v>115</v>
      </c>
      <c r="CI105" s="166">
        <f t="shared" si="399"/>
        <v>6921125.4739372209</v>
      </c>
      <c r="CJ105" s="166">
        <f t="shared" si="399"/>
        <v>0</v>
      </c>
      <c r="CK105" s="166">
        <f t="shared" si="399"/>
        <v>0</v>
      </c>
      <c r="CL105" s="166">
        <f t="shared" si="399"/>
        <v>0</v>
      </c>
      <c r="CM105" s="166">
        <f t="shared" si="399"/>
        <v>0</v>
      </c>
      <c r="CN105" s="166">
        <f t="shared" si="399"/>
        <v>5</v>
      </c>
      <c r="CO105" s="166">
        <f t="shared" si="399"/>
        <v>346114.83199999994</v>
      </c>
      <c r="CP105" s="166">
        <f t="shared" si="399"/>
        <v>0</v>
      </c>
      <c r="CQ105" s="166">
        <f t="shared" ref="CQ105:DQ105" si="400">SUM(CQ106:CQ114)</f>
        <v>0</v>
      </c>
      <c r="CR105" s="166">
        <f t="shared" si="400"/>
        <v>182</v>
      </c>
      <c r="CS105" s="166">
        <f t="shared" si="400"/>
        <v>9350671.151317928</v>
      </c>
      <c r="CT105" s="166">
        <f t="shared" si="400"/>
        <v>3</v>
      </c>
      <c r="CU105" s="166">
        <f t="shared" si="400"/>
        <v>162590.54718564</v>
      </c>
      <c r="CV105" s="166">
        <f t="shared" si="400"/>
        <v>123</v>
      </c>
      <c r="CW105" s="166">
        <v>5909838.0799999926</v>
      </c>
      <c r="CX105" s="166">
        <f t="shared" si="400"/>
        <v>0</v>
      </c>
      <c r="CY105" s="166">
        <f t="shared" si="400"/>
        <v>0</v>
      </c>
      <c r="CZ105" s="166">
        <f t="shared" si="400"/>
        <v>2</v>
      </c>
      <c r="DA105" s="166">
        <v>92927.48000000001</v>
      </c>
      <c r="DB105" s="166">
        <f t="shared" si="400"/>
        <v>0</v>
      </c>
      <c r="DC105" s="166">
        <f t="shared" si="400"/>
        <v>0</v>
      </c>
      <c r="DD105" s="166">
        <f t="shared" si="400"/>
        <v>0</v>
      </c>
      <c r="DE105" s="166">
        <f t="shared" si="400"/>
        <v>0</v>
      </c>
      <c r="DF105" s="166">
        <f t="shared" si="400"/>
        <v>21</v>
      </c>
      <c r="DG105" s="166">
        <f t="shared" si="400"/>
        <v>1304038.5288</v>
      </c>
      <c r="DH105" s="166">
        <f t="shared" si="400"/>
        <v>0</v>
      </c>
      <c r="DI105" s="166">
        <f t="shared" si="400"/>
        <v>0</v>
      </c>
      <c r="DJ105" s="166">
        <f t="shared" si="400"/>
        <v>34</v>
      </c>
      <c r="DK105" s="166">
        <f t="shared" si="400"/>
        <v>1910196.6108744398</v>
      </c>
      <c r="DL105" s="166">
        <f t="shared" si="400"/>
        <v>2</v>
      </c>
      <c r="DM105" s="166">
        <f t="shared" si="400"/>
        <v>164466.87079999998</v>
      </c>
      <c r="DN105" s="166">
        <f t="shared" si="400"/>
        <v>0</v>
      </c>
      <c r="DO105" s="166">
        <f t="shared" si="400"/>
        <v>0</v>
      </c>
      <c r="DP105" s="166">
        <f t="shared" si="400"/>
        <v>4</v>
      </c>
      <c r="DQ105" s="166">
        <f t="shared" si="400"/>
        <v>275603.80319999997</v>
      </c>
      <c r="DR105" s="166">
        <f>SUM(DR106:DR114)</f>
        <v>6277</v>
      </c>
      <c r="DS105" s="166">
        <f t="shared" ref="DS105" si="401">SUM(DS106:DS114)</f>
        <v>421167349.82563823</v>
      </c>
      <c r="DT105" s="166">
        <v>6272</v>
      </c>
      <c r="DU105" s="166">
        <v>407882060.28620678</v>
      </c>
      <c r="DV105" s="167">
        <f t="shared" si="319"/>
        <v>5</v>
      </c>
      <c r="DW105" s="167">
        <f t="shared" si="319"/>
        <v>13285289.539431453</v>
      </c>
    </row>
    <row r="106" spans="1:127" ht="30" customHeight="1" x14ac:dyDescent="0.25">
      <c r="A106" s="154"/>
      <c r="B106" s="176">
        <v>78</v>
      </c>
      <c r="C106" s="177" t="s">
        <v>303</v>
      </c>
      <c r="D106" s="210" t="s">
        <v>304</v>
      </c>
      <c r="E106" s="158">
        <v>25969</v>
      </c>
      <c r="F106" s="179">
        <v>1.42</v>
      </c>
      <c r="G106" s="168">
        <v>1</v>
      </c>
      <c r="H106" s="169"/>
      <c r="I106" s="169"/>
      <c r="J106" s="169"/>
      <c r="K106" s="106"/>
      <c r="L106" s="180">
        <v>1.4</v>
      </c>
      <c r="M106" s="180">
        <v>1.68</v>
      </c>
      <c r="N106" s="180">
        <v>2.23</v>
      </c>
      <c r="O106" s="181">
        <v>2.57</v>
      </c>
      <c r="P106" s="182">
        <v>80</v>
      </c>
      <c r="Q106" s="182">
        <f t="shared" ref="Q106:Q114" si="402">(P106*$E106*$F106*$G106*$L106*$Q$12)</f>
        <v>4543120.7360000005</v>
      </c>
      <c r="R106" s="182">
        <v>171</v>
      </c>
      <c r="S106" s="182">
        <f t="shared" ref="S106:S114" si="403">(R106*$E106*$F106*$G106*$L106*$S$12)</f>
        <v>9710920.5732000005</v>
      </c>
      <c r="T106" s="182"/>
      <c r="U106" s="182">
        <f t="shared" ref="U106:U114" si="404">(T106/12*11*$E106*$F106*$G106*$L106*$U$12)+(T106/12*1*$E106*$F106*$G106*$L106*$U$14)</f>
        <v>0</v>
      </c>
      <c r="V106" s="182"/>
      <c r="W106" s="183">
        <f t="shared" ref="W106:W114" si="405">(V106*$E106*$F106*$G106*$L106*$W$12)/12*10+(V106*$E106*$F106*$G106*$L106*$W$13)/12*1++(V106*$E106*$F106*$G106*$L106*$W$14)/12*1</f>
        <v>0</v>
      </c>
      <c r="X106" s="183"/>
      <c r="Y106" s="183">
        <v>0</v>
      </c>
      <c r="Z106" s="183"/>
      <c r="AA106" s="183">
        <v>0</v>
      </c>
      <c r="AB106" s="182">
        <f t="shared" ref="AB106:AC114" si="406">X106+Z106</f>
        <v>0</v>
      </c>
      <c r="AC106" s="182">
        <f t="shared" si="406"/>
        <v>0</v>
      </c>
      <c r="AD106" s="182"/>
      <c r="AE106" s="182">
        <f t="shared" ref="AE106:AE114" si="407">(AD106*$E106*$F106*$G106*$L106*$AE$12)</f>
        <v>0</v>
      </c>
      <c r="AF106" s="182"/>
      <c r="AG106" s="182"/>
      <c r="AH106" s="182">
        <v>25</v>
      </c>
      <c r="AI106" s="182">
        <f t="shared" ref="AI106:AI114" si="408">(AH106*$E106*$F106*$G106*$L106*$AI$12)</f>
        <v>1419725.23</v>
      </c>
      <c r="AJ106" s="182"/>
      <c r="AK106" s="182"/>
      <c r="AL106" s="182"/>
      <c r="AM106" s="182"/>
      <c r="AN106" s="184"/>
      <c r="AO106" s="182">
        <f t="shared" ref="AO106:AO114" si="409">(AN106*$E106*$F106*$G106*$L106*$AO$12)</f>
        <v>0</v>
      </c>
      <c r="AP106" s="182">
        <v>10</v>
      </c>
      <c r="AQ106" s="183">
        <f t="shared" ref="AQ106:AQ114" si="410">(AP106*$E106*$F106*$G106*$L106*$AQ$12)</f>
        <v>567890.09200000006</v>
      </c>
      <c r="AR106" s="182">
        <v>23</v>
      </c>
      <c r="AS106" s="182">
        <f t="shared" ref="AS106:AS110" si="411">(AR106*$E106*$F106*$G106*$L106*$AS$12)/12*10+(AR106*$E106*$F106*$G106*$L106*$AS$13)/12*1+(AR106*$E106*$F106*$L106*$G106*$AS$14*$AS$15)/12*1</f>
        <v>1410025.4951407332</v>
      </c>
      <c r="AT106" s="182">
        <v>73</v>
      </c>
      <c r="AU106" s="182">
        <f t="shared" ref="AU106:AU112" si="412">(AT106*$E106*$F106*$G106*$M106*$AU$12)/12*10+(AT106*$E106*$F106*$G106*$M106*$AU$13)/12+(AT106*$E106*$F106*$G106*$M106*$AU$14*$AU$15)/12</f>
        <v>5211692.3824941861</v>
      </c>
      <c r="AV106" s="188"/>
      <c r="AW106" s="182">
        <f t="shared" ref="AW106:AW114" si="413">(AV106*$E106*$F106*$G106*$M106*$AW$12)</f>
        <v>0</v>
      </c>
      <c r="AX106" s="182">
        <v>15</v>
      </c>
      <c r="AY106" s="187">
        <f t="shared" ref="AY106:AY114" si="414">(AX106*$E106*$F106*$G106*$M106*$AY$12)</f>
        <v>1022202.1655999999</v>
      </c>
      <c r="AZ106" s="182"/>
      <c r="BA106" s="182">
        <f t="shared" ref="BA106:BA114" si="415">(AZ106*$E106*$F106*$G106*$L106*$BA$12)</f>
        <v>0</v>
      </c>
      <c r="BB106" s="182"/>
      <c r="BC106" s="182">
        <f t="shared" ref="BC106:BC114" si="416">(BB106*$E106*$F106*$G106*$L106*$BC$12)</f>
        <v>0</v>
      </c>
      <c r="BD106" s="182"/>
      <c r="BE106" s="182">
        <f t="shared" ref="BE106:BE114" si="417">(BD106*$E106*$F106*$G106*$L106*$BE$12)</f>
        <v>0</v>
      </c>
      <c r="BF106" s="182"/>
      <c r="BG106" s="182">
        <f t="shared" ref="BG106:BG114" si="418">(BF106*$E106*$F106*$G106*$L106*$BG$12)</f>
        <v>0</v>
      </c>
      <c r="BH106" s="182"/>
      <c r="BI106" s="183">
        <f t="shared" ref="BI106:BI114" si="419">(BH106*$E106*$F106*$G106*$L106*$BI$12)</f>
        <v>0</v>
      </c>
      <c r="BJ106" s="182"/>
      <c r="BK106" s="183">
        <f t="shared" ref="BK106:BK114" si="420">(BJ106*$E106*$F106*$G106*$L106*$BK$12)</f>
        <v>0</v>
      </c>
      <c r="BL106" s="182">
        <v>15</v>
      </c>
      <c r="BM106" s="182">
        <f t="shared" ref="BM106:BM113" si="421">(BL106/12*11*$E106*$F106*$G106*$L106*$BM$12)+(BL106/12*$E106*$F106*$G106*$L106*$BM$12*$BM$15)</f>
        <v>1080961.7534192398</v>
      </c>
      <c r="BN106" s="182">
        <v>300</v>
      </c>
      <c r="BO106" s="182">
        <f t="shared" ref="BO106:BO114" si="422">(BN106*$E106*$F106*$G106*$M106*$BO$12)</f>
        <v>20444043.311999999</v>
      </c>
      <c r="BP106" s="182"/>
      <c r="BQ106" s="182">
        <f t="shared" ref="BQ106:BQ114" si="423">(BP106*$E106*$F106*$G106*$M106*$BQ$12)</f>
        <v>0</v>
      </c>
      <c r="BR106" s="182"/>
      <c r="BS106" s="183">
        <f t="shared" ref="BS106:BS114" si="424">(BR106*$E106*$F106*$G106*$M106*$BS$12)</f>
        <v>0</v>
      </c>
      <c r="BT106" s="182">
        <v>70</v>
      </c>
      <c r="BU106" s="182">
        <f t="shared" ref="BU106:BU111" si="425">(BT106*$E106*$F106*$G106*$M106*$BU$12)/12*10+(BT106*$E106*$F106*$G106*$M106*$BU$13)/12+(BT106*$E106*$F106*$G106*$M106*$BU$13*$BU$15)/12</f>
        <v>4830995.1684256634</v>
      </c>
      <c r="BV106" s="182">
        <v>6</v>
      </c>
      <c r="BW106" s="182">
        <f t="shared" ref="BW106:BW114" si="426">(BV106*$E106*$F106*$G106*$M106*$BW$12)</f>
        <v>334538.89055999997</v>
      </c>
      <c r="BX106" s="182">
        <v>51</v>
      </c>
      <c r="BY106" s="183">
        <f t="shared" ref="BY106:BY112" si="427">(BX106*$E106*$F106*$G106*$M106*$BY$12)/12*11+(BX106*$E106*$F106*$G106*$M106*$BY$12*$BY$15)/12</f>
        <v>4261200.269804352</v>
      </c>
      <c r="BZ106" s="182">
        <v>40</v>
      </c>
      <c r="CA106" s="187">
        <f t="shared" ref="CA106:CA112" si="428">(BZ106*$E106*$F106*$G106*$M106*$CA$12)/12*11+(BZ106*$E106*$F106*$G106*$M106*$CA$12*$CA$15)/12</f>
        <v>3238646.2188527994</v>
      </c>
      <c r="CB106" s="182"/>
      <c r="CC106" s="182">
        <f t="shared" ref="CC106:CC114" si="429">(CB106*$E106*$F106*$G106*$L106*$CC$12)</f>
        <v>0</v>
      </c>
      <c r="CD106" s="182"/>
      <c r="CE106" s="182">
        <f t="shared" ref="CE106:CE114" si="430">(CD106*$E106*$F106*$G106*$L106*$CE$12)</f>
        <v>0</v>
      </c>
      <c r="CF106" s="182"/>
      <c r="CG106" s="182">
        <f t="shared" ref="CG106:CG114" si="431">(CF106*$E106*$F106*$G106*$L106*$CG$12)</f>
        <v>0</v>
      </c>
      <c r="CH106" s="182">
        <v>35</v>
      </c>
      <c r="CI106" s="182">
        <f t="shared" ref="CI106:CI113" si="432">(CH106*$E106*$F106*$G106*$M106*$CI$12)/12*11+(CH106*$E106*$F106*$G106*$M106*$CI$12*$CI$15)/12</f>
        <v>2416437.9069524398</v>
      </c>
      <c r="CJ106" s="182"/>
      <c r="CK106" s="182"/>
      <c r="CL106" s="182"/>
      <c r="CM106" s="183">
        <f t="shared" ref="CM106:CM114" si="433">(CL106*$E106*$F106*$G106*$L106*$CM$12)</f>
        <v>0</v>
      </c>
      <c r="CN106" s="182"/>
      <c r="CO106" s="183">
        <f t="shared" ref="CO106:CO114" si="434">(CN106*$E106*$F106*$G106*$L106*$CO$12)</f>
        <v>0</v>
      </c>
      <c r="CP106" s="182"/>
      <c r="CQ106" s="182">
        <f t="shared" ref="CQ106:CQ114" si="435">(CP106*$E106*$F106*$G106*$L106*$CQ$12)</f>
        <v>0</v>
      </c>
      <c r="CR106" s="182">
        <v>3</v>
      </c>
      <c r="CS106" s="182">
        <f t="shared" ref="CS106:CS112" si="436">(CR106*$E106*$F106*$G106*$L106*$CS$12)/12*10+(CR106*$E106*$F106*$G106*$L106*$CS$13)/12+(CR106*$E106*$F106*$G106*$L106*$CS$13*$CS$15)/12</f>
        <v>185679.66766705998</v>
      </c>
      <c r="CT106" s="182">
        <v>3</v>
      </c>
      <c r="CU106" s="182">
        <f t="shared" ref="CU106" si="437">(CT106*$E106*$F106*$G106*$L106*$CU$12)/12*11+(CT106*$E106*$F106*$G106*$L106*$CU$12*$CU$15)/12</f>
        <v>162590.54718564</v>
      </c>
      <c r="CV106" s="182">
        <v>6</v>
      </c>
      <c r="CW106" s="182">
        <v>185854.98000000004</v>
      </c>
      <c r="CX106" s="182"/>
      <c r="CY106" s="182">
        <f t="shared" ref="CY106:CY114" si="438">(CX106*$E106*$F106*$G106*$M106*$CY$12)</f>
        <v>0</v>
      </c>
      <c r="CZ106" s="182"/>
      <c r="DA106" s="182">
        <v>0</v>
      </c>
      <c r="DB106" s="188"/>
      <c r="DC106" s="182">
        <f t="shared" ref="DC106:DC114" si="439">(DB106*$E106*$F106*$G106*$M106*$DC$12)</f>
        <v>0</v>
      </c>
      <c r="DD106" s="182"/>
      <c r="DE106" s="187">
        <f t="shared" ref="DE106:DE111" si="440">(DD106*$E106*$F106*$G106*$M106*DE$12)</f>
        <v>0</v>
      </c>
      <c r="DF106" s="182">
        <v>15</v>
      </c>
      <c r="DG106" s="182">
        <f t="shared" ref="DG106:DG114" si="441">(DF106*$E106*$F106*$G106*$M106*$DG$12)</f>
        <v>929274.69599999988</v>
      </c>
      <c r="DH106" s="189"/>
      <c r="DI106" s="182">
        <f t="shared" ref="DI106:DI114" si="442">(DH106*$E106*$F106*$G106*$M106*$DI$12)</f>
        <v>0</v>
      </c>
      <c r="DJ106" s="182">
        <f>38-17-15</f>
        <v>6</v>
      </c>
      <c r="DK106" s="182">
        <f t="shared" ref="DK106:DK110" si="443">(DJ106/12*11*$E106*$F106*$G106*$M106*$DK$12)+(DJ106/12*1*$E106*$F106*$M106*$G106*$DK$12*$DK$15)</f>
        <v>405049.15691015992</v>
      </c>
      <c r="DL106" s="182">
        <f>ROUND(2*0.75,0)</f>
        <v>2</v>
      </c>
      <c r="DM106" s="182">
        <f t="shared" ref="DM106:DM114" si="444">(DL106*$E106*$F106*$G106*$N106*$DM$12)</f>
        <v>164466.87079999998</v>
      </c>
      <c r="DN106" s="182"/>
      <c r="DO106" s="190">
        <f t="shared" ref="DO106:DO114" si="445">(DN106*$E106*$F106*$G106*$O106*$DO$12)</f>
        <v>0</v>
      </c>
      <c r="DP106" s="187"/>
      <c r="DQ106" s="187"/>
      <c r="DR106" s="183">
        <f t="shared" ref="DR106:DS114" si="446">SUM(P106,R106,T106,V106,AB106,AJ106,AD106,AF106,AH106,AL106,AN106,AP106,AV106,AZ106,BB106,CF106,AR106,BF106,BH106,BJ106,CT106,BL106,BN106,AT106,BR106,AX106,CV106,BT106,CX106,BV106,BX106,BZ106,CH106,CB106,CD106,CJ106,CL106,CN106,CP106,CR106,CZ106,DB106,BP106,BD106,DD106,DF106,DH106,DJ106,DL106,DN106,DP106)</f>
        <v>949</v>
      </c>
      <c r="DS106" s="183">
        <f t="shared" si="446"/>
        <v>62525316.113012284</v>
      </c>
      <c r="DT106" s="182">
        <v>956</v>
      </c>
      <c r="DU106" s="182">
        <v>61193464.000006668</v>
      </c>
      <c r="DV106" s="167">
        <f t="shared" si="319"/>
        <v>-7</v>
      </c>
      <c r="DW106" s="167">
        <f t="shared" si="319"/>
        <v>1331852.1130056158</v>
      </c>
    </row>
    <row r="107" spans="1:127" ht="30.75" customHeight="1" x14ac:dyDescent="0.25">
      <c r="A107" s="154"/>
      <c r="B107" s="176">
        <v>79</v>
      </c>
      <c r="C107" s="177" t="s">
        <v>305</v>
      </c>
      <c r="D107" s="210" t="s">
        <v>306</v>
      </c>
      <c r="E107" s="158">
        <v>25969</v>
      </c>
      <c r="F107" s="179">
        <v>2.81</v>
      </c>
      <c r="G107" s="168">
        <v>1</v>
      </c>
      <c r="H107" s="169"/>
      <c r="I107" s="169"/>
      <c r="J107" s="169"/>
      <c r="K107" s="106"/>
      <c r="L107" s="180">
        <v>1.4</v>
      </c>
      <c r="M107" s="180">
        <v>1.68</v>
      </c>
      <c r="N107" s="180">
        <v>2.23</v>
      </c>
      <c r="O107" s="181">
        <v>2.57</v>
      </c>
      <c r="P107" s="182">
        <v>75</v>
      </c>
      <c r="Q107" s="182">
        <f t="shared" si="402"/>
        <v>8428368.7949999999</v>
      </c>
      <c r="R107" s="182">
        <v>476</v>
      </c>
      <c r="S107" s="182">
        <f t="shared" si="403"/>
        <v>53492047.285599999</v>
      </c>
      <c r="T107" s="182"/>
      <c r="U107" s="182">
        <f t="shared" si="404"/>
        <v>0</v>
      </c>
      <c r="V107" s="182"/>
      <c r="W107" s="183">
        <f t="shared" si="405"/>
        <v>0</v>
      </c>
      <c r="X107" s="183"/>
      <c r="Y107" s="183">
        <v>0</v>
      </c>
      <c r="Z107" s="183"/>
      <c r="AA107" s="183">
        <v>0</v>
      </c>
      <c r="AB107" s="182">
        <f t="shared" si="406"/>
        <v>0</v>
      </c>
      <c r="AC107" s="182">
        <f t="shared" si="406"/>
        <v>0</v>
      </c>
      <c r="AD107" s="182"/>
      <c r="AE107" s="182">
        <f t="shared" si="407"/>
        <v>0</v>
      </c>
      <c r="AF107" s="182"/>
      <c r="AG107" s="182"/>
      <c r="AH107" s="182">
        <v>83</v>
      </c>
      <c r="AI107" s="182">
        <f t="shared" si="408"/>
        <v>9327394.7998000011</v>
      </c>
      <c r="AJ107" s="182"/>
      <c r="AK107" s="182"/>
      <c r="AL107" s="182"/>
      <c r="AM107" s="182"/>
      <c r="AN107" s="184"/>
      <c r="AO107" s="182">
        <f t="shared" si="409"/>
        <v>0</v>
      </c>
      <c r="AP107" s="182"/>
      <c r="AQ107" s="183">
        <f t="shared" si="410"/>
        <v>0</v>
      </c>
      <c r="AR107" s="182"/>
      <c r="AS107" s="182">
        <f t="shared" si="411"/>
        <v>0</v>
      </c>
      <c r="AT107" s="182">
        <v>200</v>
      </c>
      <c r="AU107" s="182">
        <f t="shared" si="412"/>
        <v>28255557.77505048</v>
      </c>
      <c r="AV107" s="188"/>
      <c r="AW107" s="182">
        <f t="shared" si="413"/>
        <v>0</v>
      </c>
      <c r="AX107" s="182"/>
      <c r="AY107" s="187">
        <f t="shared" si="414"/>
        <v>0</v>
      </c>
      <c r="AZ107" s="182"/>
      <c r="BA107" s="182">
        <f t="shared" si="415"/>
        <v>0</v>
      </c>
      <c r="BB107" s="182"/>
      <c r="BC107" s="182">
        <f t="shared" si="416"/>
        <v>0</v>
      </c>
      <c r="BD107" s="182"/>
      <c r="BE107" s="182">
        <f t="shared" si="417"/>
        <v>0</v>
      </c>
      <c r="BF107" s="182"/>
      <c r="BG107" s="182">
        <f t="shared" si="418"/>
        <v>0</v>
      </c>
      <c r="BH107" s="182"/>
      <c r="BI107" s="183">
        <f t="shared" si="419"/>
        <v>0</v>
      </c>
      <c r="BJ107" s="182"/>
      <c r="BK107" s="183">
        <f t="shared" si="420"/>
        <v>0</v>
      </c>
      <c r="BL107" s="182">
        <v>1</v>
      </c>
      <c r="BM107" s="182">
        <f t="shared" si="421"/>
        <v>142605.75244638798</v>
      </c>
      <c r="BN107" s="182">
        <v>218</v>
      </c>
      <c r="BO107" s="182">
        <f t="shared" si="422"/>
        <v>29398150.356959999</v>
      </c>
      <c r="BP107" s="182"/>
      <c r="BQ107" s="182">
        <f t="shared" si="423"/>
        <v>0</v>
      </c>
      <c r="BR107" s="182"/>
      <c r="BS107" s="183">
        <f t="shared" si="424"/>
        <v>0</v>
      </c>
      <c r="BT107" s="182">
        <v>5</v>
      </c>
      <c r="BU107" s="182">
        <f t="shared" si="425"/>
        <v>682851.93276036798</v>
      </c>
      <c r="BV107" s="182"/>
      <c r="BW107" s="182">
        <f t="shared" si="426"/>
        <v>0</v>
      </c>
      <c r="BX107" s="182"/>
      <c r="BY107" s="183">
        <f t="shared" si="427"/>
        <v>0</v>
      </c>
      <c r="BZ107" s="182"/>
      <c r="CA107" s="187">
        <f t="shared" si="428"/>
        <v>0</v>
      </c>
      <c r="CB107" s="182"/>
      <c r="CC107" s="182">
        <f t="shared" si="429"/>
        <v>0</v>
      </c>
      <c r="CD107" s="182"/>
      <c r="CE107" s="182">
        <f t="shared" si="430"/>
        <v>0</v>
      </c>
      <c r="CF107" s="182"/>
      <c r="CG107" s="182">
        <f t="shared" si="431"/>
        <v>0</v>
      </c>
      <c r="CH107" s="182"/>
      <c r="CI107" s="182">
        <f t="shared" si="432"/>
        <v>0</v>
      </c>
      <c r="CJ107" s="182"/>
      <c r="CK107" s="182"/>
      <c r="CL107" s="182"/>
      <c r="CM107" s="183">
        <f t="shared" si="433"/>
        <v>0</v>
      </c>
      <c r="CN107" s="209"/>
      <c r="CO107" s="183">
        <f t="shared" si="434"/>
        <v>0</v>
      </c>
      <c r="CP107" s="182"/>
      <c r="CQ107" s="182">
        <f t="shared" si="435"/>
        <v>0</v>
      </c>
      <c r="CR107" s="182"/>
      <c r="CS107" s="182">
        <f t="shared" si="436"/>
        <v>0</v>
      </c>
      <c r="CT107" s="182"/>
      <c r="CU107" s="182">
        <f t="shared" ref="CU107:CU114" si="447">(CT107*$E107*$F107*$G107*$L107*$CU$12)</f>
        <v>0</v>
      </c>
      <c r="CV107" s="182"/>
      <c r="CW107" s="182">
        <v>0</v>
      </c>
      <c r="CX107" s="182"/>
      <c r="CY107" s="182">
        <f t="shared" si="438"/>
        <v>0</v>
      </c>
      <c r="CZ107" s="182"/>
      <c r="DA107" s="182">
        <v>0</v>
      </c>
      <c r="DB107" s="188"/>
      <c r="DC107" s="182">
        <f t="shared" si="439"/>
        <v>0</v>
      </c>
      <c r="DD107" s="182"/>
      <c r="DE107" s="187">
        <f t="shared" si="440"/>
        <v>0</v>
      </c>
      <c r="DF107" s="182"/>
      <c r="DG107" s="182">
        <f t="shared" si="441"/>
        <v>0</v>
      </c>
      <c r="DH107" s="189"/>
      <c r="DI107" s="182">
        <f t="shared" si="442"/>
        <v>0</v>
      </c>
      <c r="DJ107" s="182"/>
      <c r="DK107" s="182">
        <f t="shared" si="443"/>
        <v>0</v>
      </c>
      <c r="DL107" s="182"/>
      <c r="DM107" s="182">
        <f t="shared" si="444"/>
        <v>0</v>
      </c>
      <c r="DN107" s="182"/>
      <c r="DO107" s="190">
        <f t="shared" si="445"/>
        <v>0</v>
      </c>
      <c r="DP107" s="187"/>
      <c r="DQ107" s="187"/>
      <c r="DR107" s="183">
        <f t="shared" si="446"/>
        <v>1058</v>
      </c>
      <c r="DS107" s="183">
        <f t="shared" si="446"/>
        <v>129726976.69761723</v>
      </c>
      <c r="DT107" s="182">
        <v>1026</v>
      </c>
      <c r="DU107" s="182">
        <v>124433372.02800003</v>
      </c>
      <c r="DV107" s="167">
        <f t="shared" si="319"/>
        <v>32</v>
      </c>
      <c r="DW107" s="167">
        <f t="shared" si="319"/>
        <v>5293604.6696172059</v>
      </c>
    </row>
    <row r="108" spans="1:127" ht="24" customHeight="1" x14ac:dyDescent="0.25">
      <c r="A108" s="154"/>
      <c r="B108" s="176">
        <v>80</v>
      </c>
      <c r="C108" s="177" t="s">
        <v>307</v>
      </c>
      <c r="D108" s="210" t="s">
        <v>308</v>
      </c>
      <c r="E108" s="158">
        <v>25969</v>
      </c>
      <c r="F108" s="179">
        <v>1.1200000000000001</v>
      </c>
      <c r="G108" s="168">
        <v>1</v>
      </c>
      <c r="H108" s="169"/>
      <c r="I108" s="169"/>
      <c r="J108" s="169"/>
      <c r="K108" s="106"/>
      <c r="L108" s="180">
        <v>1.4</v>
      </c>
      <c r="M108" s="180">
        <v>1.68</v>
      </c>
      <c r="N108" s="180">
        <v>2.23</v>
      </c>
      <c r="O108" s="181">
        <v>2.57</v>
      </c>
      <c r="P108" s="182">
        <v>239</v>
      </c>
      <c r="Q108" s="182">
        <f t="shared" si="402"/>
        <v>10705128.156800002</v>
      </c>
      <c r="R108" s="182">
        <v>670</v>
      </c>
      <c r="S108" s="182">
        <f t="shared" si="403"/>
        <v>30010191.904000003</v>
      </c>
      <c r="T108" s="182">
        <v>79</v>
      </c>
      <c r="U108" s="182">
        <f t="shared" si="404"/>
        <v>4061250.3596000001</v>
      </c>
      <c r="V108" s="182"/>
      <c r="W108" s="183">
        <f t="shared" si="405"/>
        <v>0</v>
      </c>
      <c r="X108" s="183"/>
      <c r="Y108" s="183">
        <v>0</v>
      </c>
      <c r="Z108" s="183"/>
      <c r="AA108" s="183">
        <v>0</v>
      </c>
      <c r="AB108" s="182">
        <f t="shared" si="406"/>
        <v>0</v>
      </c>
      <c r="AC108" s="182">
        <f t="shared" si="406"/>
        <v>0</v>
      </c>
      <c r="AD108" s="182"/>
      <c r="AE108" s="182">
        <f t="shared" si="407"/>
        <v>0</v>
      </c>
      <c r="AF108" s="182"/>
      <c r="AG108" s="182"/>
      <c r="AH108" s="182">
        <v>303</v>
      </c>
      <c r="AI108" s="182">
        <f t="shared" si="408"/>
        <v>13571773.353600003</v>
      </c>
      <c r="AJ108" s="182"/>
      <c r="AK108" s="182"/>
      <c r="AL108" s="182"/>
      <c r="AM108" s="182"/>
      <c r="AN108" s="184"/>
      <c r="AO108" s="182">
        <f t="shared" si="409"/>
        <v>0</v>
      </c>
      <c r="AP108" s="182">
        <v>38</v>
      </c>
      <c r="AQ108" s="183">
        <f t="shared" si="410"/>
        <v>1702070.5856000003</v>
      </c>
      <c r="AR108" s="182">
        <v>1000</v>
      </c>
      <c r="AS108" s="182">
        <f t="shared" si="411"/>
        <v>48353599.343466669</v>
      </c>
      <c r="AT108" s="182">
        <v>240</v>
      </c>
      <c r="AU108" s="182">
        <f t="shared" si="412"/>
        <v>13514402.010557953</v>
      </c>
      <c r="AV108" s="188"/>
      <c r="AW108" s="182">
        <f t="shared" si="413"/>
        <v>0</v>
      </c>
      <c r="AX108" s="182">
        <v>25</v>
      </c>
      <c r="AY108" s="187">
        <f t="shared" si="414"/>
        <v>1343739.9360000005</v>
      </c>
      <c r="AZ108" s="182"/>
      <c r="BA108" s="182">
        <f t="shared" si="415"/>
        <v>0</v>
      </c>
      <c r="BB108" s="182"/>
      <c r="BC108" s="182">
        <f t="shared" si="416"/>
        <v>0</v>
      </c>
      <c r="BD108" s="182"/>
      <c r="BE108" s="182">
        <f t="shared" si="417"/>
        <v>0</v>
      </c>
      <c r="BF108" s="182"/>
      <c r="BG108" s="182">
        <f t="shared" si="418"/>
        <v>0</v>
      </c>
      <c r="BH108" s="182"/>
      <c r="BI108" s="183">
        <f t="shared" si="419"/>
        <v>0</v>
      </c>
      <c r="BJ108" s="182"/>
      <c r="BK108" s="183">
        <f t="shared" si="420"/>
        <v>0</v>
      </c>
      <c r="BL108" s="182">
        <v>121</v>
      </c>
      <c r="BM108" s="182">
        <f t="shared" si="421"/>
        <v>6877555.7194072958</v>
      </c>
      <c r="BN108" s="182">
        <v>376</v>
      </c>
      <c r="BO108" s="182">
        <f t="shared" si="422"/>
        <v>20209848.637440003</v>
      </c>
      <c r="BP108" s="182"/>
      <c r="BQ108" s="182">
        <f t="shared" si="423"/>
        <v>0</v>
      </c>
      <c r="BR108" s="182"/>
      <c r="BS108" s="183">
        <f t="shared" si="424"/>
        <v>0</v>
      </c>
      <c r="BT108" s="182">
        <v>70</v>
      </c>
      <c r="BU108" s="182">
        <f t="shared" si="425"/>
        <v>3810362.386363904</v>
      </c>
      <c r="BV108" s="182">
        <v>44</v>
      </c>
      <c r="BW108" s="182">
        <f t="shared" si="426"/>
        <v>1934985.5078400003</v>
      </c>
      <c r="BX108" s="182">
        <v>60</v>
      </c>
      <c r="BY108" s="183">
        <f t="shared" si="427"/>
        <v>3954054.9313843208</v>
      </c>
      <c r="BZ108" s="182">
        <v>116</v>
      </c>
      <c r="CA108" s="187">
        <f t="shared" si="428"/>
        <v>7407833.0414323211</v>
      </c>
      <c r="CB108" s="182"/>
      <c r="CC108" s="182">
        <f t="shared" si="429"/>
        <v>0</v>
      </c>
      <c r="CD108" s="182"/>
      <c r="CE108" s="182">
        <f t="shared" si="430"/>
        <v>0</v>
      </c>
      <c r="CF108" s="182"/>
      <c r="CG108" s="182">
        <f t="shared" si="431"/>
        <v>0</v>
      </c>
      <c r="CH108" s="182">
        <v>73</v>
      </c>
      <c r="CI108" s="182">
        <f t="shared" si="432"/>
        <v>3975210.528620353</v>
      </c>
      <c r="CJ108" s="182"/>
      <c r="CK108" s="182"/>
      <c r="CL108" s="182"/>
      <c r="CM108" s="183">
        <f t="shared" si="433"/>
        <v>0</v>
      </c>
      <c r="CN108" s="182"/>
      <c r="CO108" s="183">
        <f t="shared" si="434"/>
        <v>0</v>
      </c>
      <c r="CP108" s="182"/>
      <c r="CQ108" s="182">
        <f t="shared" si="435"/>
        <v>0</v>
      </c>
      <c r="CR108" s="182">
        <v>147</v>
      </c>
      <c r="CS108" s="182">
        <f t="shared" si="436"/>
        <v>7176126.8743438395</v>
      </c>
      <c r="CT108" s="182"/>
      <c r="CU108" s="182">
        <f t="shared" si="447"/>
        <v>0</v>
      </c>
      <c r="CV108" s="182">
        <v>109</v>
      </c>
      <c r="CW108" s="182">
        <v>5228369.899999992</v>
      </c>
      <c r="CX108" s="182"/>
      <c r="CY108" s="182">
        <f t="shared" si="438"/>
        <v>0</v>
      </c>
      <c r="CZ108" s="182"/>
      <c r="DA108" s="182">
        <v>0</v>
      </c>
      <c r="DB108" s="188"/>
      <c r="DC108" s="182">
        <f t="shared" si="439"/>
        <v>0</v>
      </c>
      <c r="DD108" s="182"/>
      <c r="DE108" s="187">
        <f t="shared" si="440"/>
        <v>0</v>
      </c>
      <c r="DF108" s="182">
        <v>5</v>
      </c>
      <c r="DG108" s="182">
        <f t="shared" si="441"/>
        <v>244316.35200000004</v>
      </c>
      <c r="DH108" s="189"/>
      <c r="DI108" s="182">
        <f t="shared" si="442"/>
        <v>0</v>
      </c>
      <c r="DJ108" s="182">
        <v>27</v>
      </c>
      <c r="DK108" s="182">
        <f t="shared" si="443"/>
        <v>1437639.26114592</v>
      </c>
      <c r="DL108" s="182"/>
      <c r="DM108" s="182">
        <f t="shared" si="444"/>
        <v>0</v>
      </c>
      <c r="DN108" s="182"/>
      <c r="DO108" s="190">
        <f t="shared" si="445"/>
        <v>0</v>
      </c>
      <c r="DP108" s="187"/>
      <c r="DQ108" s="187"/>
      <c r="DR108" s="183">
        <f t="shared" si="446"/>
        <v>3742</v>
      </c>
      <c r="DS108" s="183">
        <f t="shared" si="446"/>
        <v>185518458.78960258</v>
      </c>
      <c r="DT108" s="182">
        <v>3762</v>
      </c>
      <c r="DU108" s="182">
        <v>180386770.79589334</v>
      </c>
      <c r="DV108" s="167">
        <f t="shared" si="319"/>
        <v>-20</v>
      </c>
      <c r="DW108" s="167">
        <f t="shared" si="319"/>
        <v>5131687.9937092364</v>
      </c>
    </row>
    <row r="109" spans="1:127" ht="24" customHeight="1" x14ac:dyDescent="0.25">
      <c r="A109" s="154"/>
      <c r="B109" s="176">
        <v>81</v>
      </c>
      <c r="C109" s="177" t="s">
        <v>309</v>
      </c>
      <c r="D109" s="210" t="s">
        <v>310</v>
      </c>
      <c r="E109" s="158">
        <v>25969</v>
      </c>
      <c r="F109" s="179">
        <v>2.0099999999999998</v>
      </c>
      <c r="G109" s="168">
        <v>1</v>
      </c>
      <c r="H109" s="169"/>
      <c r="I109" s="169"/>
      <c r="J109" s="169"/>
      <c r="K109" s="106"/>
      <c r="L109" s="180">
        <v>1.4</v>
      </c>
      <c r="M109" s="180">
        <v>1.68</v>
      </c>
      <c r="N109" s="180">
        <v>2.23</v>
      </c>
      <c r="O109" s="181">
        <v>2.57</v>
      </c>
      <c r="P109" s="182">
        <v>101</v>
      </c>
      <c r="Q109" s="182">
        <f t="shared" si="402"/>
        <v>8118828.7025999995</v>
      </c>
      <c r="R109" s="182">
        <v>17</v>
      </c>
      <c r="S109" s="182">
        <f t="shared" si="403"/>
        <v>1366535.5241999996</v>
      </c>
      <c r="T109" s="182"/>
      <c r="U109" s="182">
        <f t="shared" si="404"/>
        <v>0</v>
      </c>
      <c r="V109" s="182"/>
      <c r="W109" s="183">
        <f t="shared" si="405"/>
        <v>0</v>
      </c>
      <c r="X109" s="183"/>
      <c r="Y109" s="183">
        <v>0</v>
      </c>
      <c r="Z109" s="183"/>
      <c r="AA109" s="183">
        <v>0</v>
      </c>
      <c r="AB109" s="182">
        <f t="shared" si="406"/>
        <v>0</v>
      </c>
      <c r="AC109" s="182">
        <f t="shared" si="406"/>
        <v>0</v>
      </c>
      <c r="AD109" s="182"/>
      <c r="AE109" s="182">
        <f t="shared" si="407"/>
        <v>0</v>
      </c>
      <c r="AF109" s="182"/>
      <c r="AG109" s="182"/>
      <c r="AH109" s="182">
        <v>5</v>
      </c>
      <c r="AI109" s="182">
        <f t="shared" si="408"/>
        <v>401922.21299999999</v>
      </c>
      <c r="AJ109" s="182"/>
      <c r="AK109" s="182"/>
      <c r="AL109" s="182"/>
      <c r="AM109" s="182"/>
      <c r="AN109" s="184"/>
      <c r="AO109" s="182">
        <f t="shared" si="409"/>
        <v>0</v>
      </c>
      <c r="AP109" s="182"/>
      <c r="AQ109" s="183">
        <f t="shared" si="410"/>
        <v>0</v>
      </c>
      <c r="AR109" s="182"/>
      <c r="AS109" s="182">
        <f t="shared" si="411"/>
        <v>0</v>
      </c>
      <c r="AT109" s="182">
        <v>32</v>
      </c>
      <c r="AU109" s="182">
        <f t="shared" si="412"/>
        <v>3233803.3382406523</v>
      </c>
      <c r="AV109" s="188"/>
      <c r="AW109" s="182">
        <f t="shared" si="413"/>
        <v>0</v>
      </c>
      <c r="AX109" s="182">
        <v>2</v>
      </c>
      <c r="AY109" s="187">
        <f t="shared" si="414"/>
        <v>192922.66223999998</v>
      </c>
      <c r="AZ109" s="182"/>
      <c r="BA109" s="182">
        <f t="shared" si="415"/>
        <v>0</v>
      </c>
      <c r="BB109" s="182"/>
      <c r="BC109" s="182">
        <f t="shared" si="416"/>
        <v>0</v>
      </c>
      <c r="BD109" s="182"/>
      <c r="BE109" s="182">
        <f t="shared" si="417"/>
        <v>0</v>
      </c>
      <c r="BF109" s="182"/>
      <c r="BG109" s="182">
        <f t="shared" si="418"/>
        <v>0</v>
      </c>
      <c r="BH109" s="182"/>
      <c r="BI109" s="183">
        <f t="shared" si="419"/>
        <v>0</v>
      </c>
      <c r="BJ109" s="182"/>
      <c r="BK109" s="183">
        <f t="shared" si="420"/>
        <v>0</v>
      </c>
      <c r="BL109" s="182">
        <v>1</v>
      </c>
      <c r="BM109" s="182">
        <f t="shared" si="421"/>
        <v>102006.24997054797</v>
      </c>
      <c r="BN109" s="182">
        <v>3</v>
      </c>
      <c r="BO109" s="182">
        <f t="shared" si="422"/>
        <v>289383.99335999996</v>
      </c>
      <c r="BP109" s="182"/>
      <c r="BQ109" s="182">
        <f t="shared" si="423"/>
        <v>0</v>
      </c>
      <c r="BR109" s="182"/>
      <c r="BS109" s="183">
        <f t="shared" si="424"/>
        <v>0</v>
      </c>
      <c r="BT109" s="182">
        <v>13</v>
      </c>
      <c r="BU109" s="182">
        <f t="shared" si="425"/>
        <v>1269958.7902511326</v>
      </c>
      <c r="BV109" s="182"/>
      <c r="BW109" s="182">
        <f t="shared" si="426"/>
        <v>0</v>
      </c>
      <c r="BX109" s="182"/>
      <c r="BY109" s="183">
        <f t="shared" si="427"/>
        <v>0</v>
      </c>
      <c r="BZ109" s="182"/>
      <c r="CA109" s="187">
        <f t="shared" si="428"/>
        <v>0</v>
      </c>
      <c r="CB109" s="182"/>
      <c r="CC109" s="182">
        <f t="shared" si="429"/>
        <v>0</v>
      </c>
      <c r="CD109" s="182"/>
      <c r="CE109" s="182">
        <f t="shared" si="430"/>
        <v>0</v>
      </c>
      <c r="CF109" s="182"/>
      <c r="CG109" s="182">
        <f t="shared" si="431"/>
        <v>0</v>
      </c>
      <c r="CH109" s="182"/>
      <c r="CI109" s="182">
        <f t="shared" si="432"/>
        <v>0</v>
      </c>
      <c r="CJ109" s="182"/>
      <c r="CK109" s="182"/>
      <c r="CL109" s="182"/>
      <c r="CM109" s="183">
        <f t="shared" si="433"/>
        <v>0</v>
      </c>
      <c r="CN109" s="182"/>
      <c r="CO109" s="183">
        <f t="shared" si="434"/>
        <v>0</v>
      </c>
      <c r="CP109" s="182"/>
      <c r="CQ109" s="182">
        <f t="shared" si="435"/>
        <v>0</v>
      </c>
      <c r="CR109" s="182"/>
      <c r="CS109" s="182">
        <f t="shared" si="436"/>
        <v>0</v>
      </c>
      <c r="CT109" s="182"/>
      <c r="CU109" s="182">
        <f t="shared" si="447"/>
        <v>0</v>
      </c>
      <c r="CV109" s="182"/>
      <c r="CW109" s="182">
        <v>0</v>
      </c>
      <c r="CX109" s="182"/>
      <c r="CY109" s="182">
        <f t="shared" si="438"/>
        <v>0</v>
      </c>
      <c r="CZ109" s="182"/>
      <c r="DA109" s="182">
        <v>0</v>
      </c>
      <c r="DB109" s="188"/>
      <c r="DC109" s="182">
        <f t="shared" si="439"/>
        <v>0</v>
      </c>
      <c r="DD109" s="182"/>
      <c r="DE109" s="187">
        <f t="shared" si="440"/>
        <v>0</v>
      </c>
      <c r="DF109" s="182"/>
      <c r="DG109" s="182">
        <f t="shared" si="441"/>
        <v>0</v>
      </c>
      <c r="DH109" s="189"/>
      <c r="DI109" s="182">
        <f t="shared" si="442"/>
        <v>0</v>
      </c>
      <c r="DJ109" s="182"/>
      <c r="DK109" s="182">
        <f t="shared" si="443"/>
        <v>0</v>
      </c>
      <c r="DL109" s="182"/>
      <c r="DM109" s="182">
        <f t="shared" si="444"/>
        <v>0</v>
      </c>
      <c r="DN109" s="182"/>
      <c r="DO109" s="190">
        <f t="shared" si="445"/>
        <v>0</v>
      </c>
      <c r="DP109" s="187">
        <v>4</v>
      </c>
      <c r="DQ109" s="182">
        <f>(DP109*$E109*$F109*$G109*$L109*DQ$12)/12*6+(DP109*$E109*$F109*$G109*1*DQ$12)/12*6</f>
        <v>275603.80319999997</v>
      </c>
      <c r="DR109" s="183">
        <f t="shared" si="446"/>
        <v>178</v>
      </c>
      <c r="DS109" s="183">
        <f t="shared" si="446"/>
        <v>15250965.27706233</v>
      </c>
      <c r="DT109" s="182">
        <v>181</v>
      </c>
      <c r="DU109" s="182">
        <v>15308956.10472</v>
      </c>
      <c r="DV109" s="167">
        <f t="shared" si="319"/>
        <v>-3</v>
      </c>
      <c r="DW109" s="167">
        <f t="shared" si="319"/>
        <v>-57990.827657669783</v>
      </c>
    </row>
    <row r="110" spans="1:127" ht="30" customHeight="1" x14ac:dyDescent="0.25">
      <c r="A110" s="154"/>
      <c r="B110" s="176">
        <v>82</v>
      </c>
      <c r="C110" s="177" t="s">
        <v>311</v>
      </c>
      <c r="D110" s="210" t="s">
        <v>312</v>
      </c>
      <c r="E110" s="158">
        <v>25969</v>
      </c>
      <c r="F110" s="179">
        <v>1.42</v>
      </c>
      <c r="G110" s="168">
        <v>1</v>
      </c>
      <c r="H110" s="169"/>
      <c r="I110" s="169"/>
      <c r="J110" s="169"/>
      <c r="K110" s="106"/>
      <c r="L110" s="180">
        <v>1.4</v>
      </c>
      <c r="M110" s="180">
        <v>1.68</v>
      </c>
      <c r="N110" s="180">
        <v>2.23</v>
      </c>
      <c r="O110" s="181">
        <v>2.57</v>
      </c>
      <c r="P110" s="182">
        <v>33</v>
      </c>
      <c r="Q110" s="182">
        <f t="shared" si="402"/>
        <v>1874037.3035999998</v>
      </c>
      <c r="R110" s="182">
        <v>7</v>
      </c>
      <c r="S110" s="182">
        <f t="shared" si="403"/>
        <v>397523.06439999997</v>
      </c>
      <c r="T110" s="182">
        <v>29</v>
      </c>
      <c r="U110" s="182">
        <f t="shared" si="404"/>
        <v>1890170.5448499995</v>
      </c>
      <c r="V110" s="182"/>
      <c r="W110" s="183">
        <f t="shared" si="405"/>
        <v>0</v>
      </c>
      <c r="X110" s="183"/>
      <c r="Y110" s="183">
        <v>0</v>
      </c>
      <c r="Z110" s="183"/>
      <c r="AA110" s="183">
        <v>0</v>
      </c>
      <c r="AB110" s="182">
        <f t="shared" si="406"/>
        <v>0</v>
      </c>
      <c r="AC110" s="182">
        <f t="shared" si="406"/>
        <v>0</v>
      </c>
      <c r="AD110" s="182"/>
      <c r="AE110" s="182">
        <f t="shared" si="407"/>
        <v>0</v>
      </c>
      <c r="AF110" s="182"/>
      <c r="AG110" s="182"/>
      <c r="AH110" s="182">
        <v>20</v>
      </c>
      <c r="AI110" s="182">
        <f t="shared" si="408"/>
        <v>1135780.1840000001</v>
      </c>
      <c r="AJ110" s="182"/>
      <c r="AK110" s="182"/>
      <c r="AL110" s="182"/>
      <c r="AM110" s="182"/>
      <c r="AN110" s="184"/>
      <c r="AO110" s="182">
        <f t="shared" si="409"/>
        <v>0</v>
      </c>
      <c r="AP110" s="182">
        <f>7-4</f>
        <v>3</v>
      </c>
      <c r="AQ110" s="183">
        <f t="shared" si="410"/>
        <v>170367.0276</v>
      </c>
      <c r="AR110" s="182">
        <v>20</v>
      </c>
      <c r="AS110" s="182">
        <f t="shared" si="411"/>
        <v>1226109.1262093333</v>
      </c>
      <c r="AT110" s="182">
        <v>55</v>
      </c>
      <c r="AU110" s="182">
        <f t="shared" si="412"/>
        <v>3926617.548454524</v>
      </c>
      <c r="AV110" s="188"/>
      <c r="AW110" s="182">
        <f t="shared" si="413"/>
        <v>0</v>
      </c>
      <c r="AX110" s="182"/>
      <c r="AY110" s="187">
        <f t="shared" si="414"/>
        <v>0</v>
      </c>
      <c r="AZ110" s="182"/>
      <c r="BA110" s="182">
        <f t="shared" si="415"/>
        <v>0</v>
      </c>
      <c r="BB110" s="182"/>
      <c r="BC110" s="182">
        <f t="shared" si="416"/>
        <v>0</v>
      </c>
      <c r="BD110" s="182"/>
      <c r="BE110" s="182">
        <f t="shared" si="417"/>
        <v>0</v>
      </c>
      <c r="BF110" s="182"/>
      <c r="BG110" s="182">
        <f t="shared" si="418"/>
        <v>0</v>
      </c>
      <c r="BH110" s="182"/>
      <c r="BI110" s="183">
        <f t="shared" si="419"/>
        <v>0</v>
      </c>
      <c r="BJ110" s="182"/>
      <c r="BK110" s="183">
        <f t="shared" si="420"/>
        <v>0</v>
      </c>
      <c r="BL110" s="182">
        <v>7</v>
      </c>
      <c r="BM110" s="182">
        <f t="shared" si="421"/>
        <v>504448.81826231198</v>
      </c>
      <c r="BN110" s="182">
        <v>5</v>
      </c>
      <c r="BO110" s="182">
        <f t="shared" si="422"/>
        <v>340734.0552</v>
      </c>
      <c r="BP110" s="182"/>
      <c r="BQ110" s="182">
        <f t="shared" si="423"/>
        <v>0</v>
      </c>
      <c r="BR110" s="182"/>
      <c r="BS110" s="183">
        <f t="shared" si="424"/>
        <v>0</v>
      </c>
      <c r="BT110" s="182">
        <v>6</v>
      </c>
      <c r="BU110" s="182">
        <f t="shared" si="425"/>
        <v>414085.30015077116</v>
      </c>
      <c r="BV110" s="182">
        <v>2</v>
      </c>
      <c r="BW110" s="182">
        <f t="shared" si="426"/>
        <v>111512.96351999999</v>
      </c>
      <c r="BX110" s="182">
        <v>9</v>
      </c>
      <c r="BY110" s="183">
        <f t="shared" si="427"/>
        <v>751976.51820076793</v>
      </c>
      <c r="BZ110" s="182">
        <v>5</v>
      </c>
      <c r="CA110" s="187">
        <f t="shared" si="428"/>
        <v>404830.77735659992</v>
      </c>
      <c r="CB110" s="182"/>
      <c r="CC110" s="182">
        <f t="shared" si="429"/>
        <v>0</v>
      </c>
      <c r="CD110" s="182"/>
      <c r="CE110" s="182">
        <f t="shared" si="430"/>
        <v>0</v>
      </c>
      <c r="CF110" s="182"/>
      <c r="CG110" s="182">
        <f t="shared" si="431"/>
        <v>0</v>
      </c>
      <c r="CH110" s="182">
        <v>2</v>
      </c>
      <c r="CI110" s="182">
        <f t="shared" si="432"/>
        <v>138082.16611156799</v>
      </c>
      <c r="CJ110" s="182"/>
      <c r="CK110" s="182"/>
      <c r="CL110" s="182"/>
      <c r="CM110" s="183">
        <f t="shared" si="433"/>
        <v>0</v>
      </c>
      <c r="CN110" s="182"/>
      <c r="CO110" s="183">
        <f t="shared" si="434"/>
        <v>0</v>
      </c>
      <c r="CP110" s="182"/>
      <c r="CQ110" s="182">
        <f t="shared" si="435"/>
        <v>0</v>
      </c>
      <c r="CR110" s="182">
        <v>31</v>
      </c>
      <c r="CS110" s="182">
        <f t="shared" si="436"/>
        <v>1918689.8992262862</v>
      </c>
      <c r="CT110" s="182"/>
      <c r="CU110" s="182">
        <f t="shared" si="447"/>
        <v>0</v>
      </c>
      <c r="CV110" s="182">
        <v>8</v>
      </c>
      <c r="CW110" s="182">
        <v>495613.20000000007</v>
      </c>
      <c r="CX110" s="182"/>
      <c r="CY110" s="182">
        <f t="shared" si="438"/>
        <v>0</v>
      </c>
      <c r="CZ110" s="182">
        <v>2</v>
      </c>
      <c r="DA110" s="182">
        <v>92927.48000000001</v>
      </c>
      <c r="DB110" s="188"/>
      <c r="DC110" s="182">
        <f t="shared" si="439"/>
        <v>0</v>
      </c>
      <c r="DD110" s="182"/>
      <c r="DE110" s="187">
        <f t="shared" si="440"/>
        <v>0</v>
      </c>
      <c r="DF110" s="182"/>
      <c r="DG110" s="182">
        <f t="shared" si="441"/>
        <v>0</v>
      </c>
      <c r="DH110" s="189"/>
      <c r="DI110" s="182">
        <f t="shared" si="442"/>
        <v>0</v>
      </c>
      <c r="DJ110" s="182">
        <v>1</v>
      </c>
      <c r="DK110" s="182">
        <f t="shared" si="443"/>
        <v>67508.192818359981</v>
      </c>
      <c r="DL110" s="182"/>
      <c r="DM110" s="182">
        <f t="shared" si="444"/>
        <v>0</v>
      </c>
      <c r="DN110" s="182"/>
      <c r="DO110" s="190">
        <f t="shared" si="445"/>
        <v>0</v>
      </c>
      <c r="DP110" s="187"/>
      <c r="DQ110" s="187"/>
      <c r="DR110" s="183">
        <f t="shared" si="446"/>
        <v>245</v>
      </c>
      <c r="DS110" s="183">
        <f t="shared" si="446"/>
        <v>15861014.169960521</v>
      </c>
      <c r="DT110" s="182">
        <v>248</v>
      </c>
      <c r="DU110" s="182">
        <v>15391198.235653332</v>
      </c>
      <c r="DV110" s="167">
        <f t="shared" si="319"/>
        <v>-3</v>
      </c>
      <c r="DW110" s="167">
        <f t="shared" si="319"/>
        <v>469815.93430718966</v>
      </c>
    </row>
    <row r="111" spans="1:127" ht="30" customHeight="1" x14ac:dyDescent="0.25">
      <c r="A111" s="154"/>
      <c r="B111" s="176">
        <v>83</v>
      </c>
      <c r="C111" s="177" t="s">
        <v>313</v>
      </c>
      <c r="D111" s="210" t="s">
        <v>314</v>
      </c>
      <c r="E111" s="158">
        <v>25969</v>
      </c>
      <c r="F111" s="179">
        <v>2.38</v>
      </c>
      <c r="G111" s="168">
        <v>1</v>
      </c>
      <c r="H111" s="169"/>
      <c r="I111" s="169"/>
      <c r="J111" s="169"/>
      <c r="K111" s="106"/>
      <c r="L111" s="180">
        <v>1.4</v>
      </c>
      <c r="M111" s="180">
        <v>1.68</v>
      </c>
      <c r="N111" s="180">
        <v>2.23</v>
      </c>
      <c r="O111" s="181">
        <v>2.57</v>
      </c>
      <c r="P111" s="182">
        <v>18</v>
      </c>
      <c r="Q111" s="182">
        <f t="shared" si="402"/>
        <v>1713268.4184000001</v>
      </c>
      <c r="R111" s="182">
        <v>3</v>
      </c>
      <c r="S111" s="182">
        <f t="shared" si="403"/>
        <v>285544.73639999999</v>
      </c>
      <c r="T111" s="182"/>
      <c r="U111" s="182">
        <f t="shared" si="404"/>
        <v>0</v>
      </c>
      <c r="V111" s="182"/>
      <c r="W111" s="183">
        <f t="shared" si="405"/>
        <v>0</v>
      </c>
      <c r="X111" s="183"/>
      <c r="Y111" s="183">
        <v>0</v>
      </c>
      <c r="Z111" s="183"/>
      <c r="AA111" s="183">
        <v>0</v>
      </c>
      <c r="AB111" s="182">
        <f t="shared" si="406"/>
        <v>0</v>
      </c>
      <c r="AC111" s="182">
        <f t="shared" si="406"/>
        <v>0</v>
      </c>
      <c r="AD111" s="182"/>
      <c r="AE111" s="182">
        <f t="shared" si="407"/>
        <v>0</v>
      </c>
      <c r="AF111" s="182"/>
      <c r="AG111" s="182"/>
      <c r="AH111" s="182">
        <v>2</v>
      </c>
      <c r="AI111" s="182">
        <f t="shared" si="408"/>
        <v>190363.15759999998</v>
      </c>
      <c r="AJ111" s="182"/>
      <c r="AK111" s="182"/>
      <c r="AL111" s="182"/>
      <c r="AM111" s="182"/>
      <c r="AN111" s="184"/>
      <c r="AO111" s="182">
        <f t="shared" si="409"/>
        <v>0</v>
      </c>
      <c r="AP111" s="182"/>
      <c r="AQ111" s="183">
        <f t="shared" si="410"/>
        <v>0</v>
      </c>
      <c r="AR111" s="182"/>
      <c r="AS111" s="182">
        <f t="shared" ref="AS111:AS114" si="448">(AR111*$E111*$F111*$G111*$L111*$AS$12)/12*10+(AR111*$E111*$F111*$G111*$L111*$AS$13)/12*1+(AR111*$E111*$F111*$G111*$L111*$AS$14)/12*1</f>
        <v>0</v>
      </c>
      <c r="AT111" s="182">
        <v>15</v>
      </c>
      <c r="AU111" s="182">
        <f t="shared" si="412"/>
        <v>1794881.5170272279</v>
      </c>
      <c r="AV111" s="188"/>
      <c r="AW111" s="182">
        <f t="shared" si="413"/>
        <v>0</v>
      </c>
      <c r="AX111" s="182">
        <v>2</v>
      </c>
      <c r="AY111" s="187">
        <f t="shared" si="414"/>
        <v>228435.78912</v>
      </c>
      <c r="AZ111" s="182"/>
      <c r="BA111" s="182">
        <f t="shared" si="415"/>
        <v>0</v>
      </c>
      <c r="BB111" s="182">
        <v>0</v>
      </c>
      <c r="BC111" s="182">
        <f t="shared" si="416"/>
        <v>0</v>
      </c>
      <c r="BD111" s="182"/>
      <c r="BE111" s="182">
        <f t="shared" si="417"/>
        <v>0</v>
      </c>
      <c r="BF111" s="182"/>
      <c r="BG111" s="182">
        <f t="shared" si="418"/>
        <v>0</v>
      </c>
      <c r="BH111" s="182"/>
      <c r="BI111" s="183">
        <f t="shared" si="419"/>
        <v>0</v>
      </c>
      <c r="BJ111" s="182"/>
      <c r="BK111" s="183">
        <f t="shared" si="420"/>
        <v>0</v>
      </c>
      <c r="BL111" s="182">
        <v>1</v>
      </c>
      <c r="BM111" s="182">
        <f t="shared" si="421"/>
        <v>120783.51986562397</v>
      </c>
      <c r="BN111" s="182">
        <v>10</v>
      </c>
      <c r="BO111" s="182">
        <f t="shared" si="422"/>
        <v>1142178.9456</v>
      </c>
      <c r="BP111" s="182"/>
      <c r="BQ111" s="182">
        <f t="shared" si="423"/>
        <v>0</v>
      </c>
      <c r="BR111" s="182"/>
      <c r="BS111" s="183">
        <f t="shared" si="424"/>
        <v>0</v>
      </c>
      <c r="BT111" s="182"/>
      <c r="BU111" s="182">
        <f t="shared" si="425"/>
        <v>0</v>
      </c>
      <c r="BV111" s="182"/>
      <c r="BW111" s="182">
        <f t="shared" si="426"/>
        <v>0</v>
      </c>
      <c r="BX111" s="182"/>
      <c r="BY111" s="183">
        <f t="shared" si="427"/>
        <v>0</v>
      </c>
      <c r="BZ111" s="182"/>
      <c r="CA111" s="187">
        <f t="shared" si="428"/>
        <v>0</v>
      </c>
      <c r="CB111" s="182"/>
      <c r="CC111" s="182">
        <f t="shared" si="429"/>
        <v>0</v>
      </c>
      <c r="CD111" s="182"/>
      <c r="CE111" s="182">
        <f t="shared" si="430"/>
        <v>0</v>
      </c>
      <c r="CF111" s="182"/>
      <c r="CG111" s="182">
        <f t="shared" si="431"/>
        <v>0</v>
      </c>
      <c r="CH111" s="182"/>
      <c r="CI111" s="182">
        <f t="shared" si="432"/>
        <v>0</v>
      </c>
      <c r="CJ111" s="182"/>
      <c r="CK111" s="182"/>
      <c r="CL111" s="182"/>
      <c r="CM111" s="183">
        <f t="shared" si="433"/>
        <v>0</v>
      </c>
      <c r="CN111" s="182">
        <v>5</v>
      </c>
      <c r="CO111" s="183">
        <f t="shared" si="434"/>
        <v>346114.83199999994</v>
      </c>
      <c r="CP111" s="182"/>
      <c r="CQ111" s="182">
        <f t="shared" si="435"/>
        <v>0</v>
      </c>
      <c r="CR111" s="182"/>
      <c r="CS111" s="182">
        <f t="shared" si="436"/>
        <v>0</v>
      </c>
      <c r="CT111" s="182"/>
      <c r="CU111" s="182">
        <f t="shared" si="447"/>
        <v>0</v>
      </c>
      <c r="CV111" s="182"/>
      <c r="CW111" s="182">
        <v>0</v>
      </c>
      <c r="CX111" s="182"/>
      <c r="CY111" s="182">
        <f t="shared" si="438"/>
        <v>0</v>
      </c>
      <c r="CZ111" s="182"/>
      <c r="DA111" s="182">
        <v>0</v>
      </c>
      <c r="DB111" s="188"/>
      <c r="DC111" s="182">
        <f t="shared" si="439"/>
        <v>0</v>
      </c>
      <c r="DD111" s="182"/>
      <c r="DE111" s="187">
        <f t="shared" si="440"/>
        <v>0</v>
      </c>
      <c r="DF111" s="182"/>
      <c r="DG111" s="182">
        <f t="shared" si="441"/>
        <v>0</v>
      </c>
      <c r="DH111" s="189"/>
      <c r="DI111" s="182">
        <f t="shared" si="442"/>
        <v>0</v>
      </c>
      <c r="DJ111" s="182"/>
      <c r="DK111" s="182">
        <f t="shared" ref="DK111:DK114" si="449">(DJ111*$E111*$F111*$G111*$M111*$DK$12)</f>
        <v>0</v>
      </c>
      <c r="DL111" s="182"/>
      <c r="DM111" s="182">
        <f t="shared" si="444"/>
        <v>0</v>
      </c>
      <c r="DN111" s="182"/>
      <c r="DO111" s="190">
        <f t="shared" si="445"/>
        <v>0</v>
      </c>
      <c r="DP111" s="182"/>
      <c r="DQ111" s="182"/>
      <c r="DR111" s="183">
        <f t="shared" si="446"/>
        <v>56</v>
      </c>
      <c r="DS111" s="183">
        <f t="shared" si="446"/>
        <v>5821570.9160128515</v>
      </c>
      <c r="DT111" s="182">
        <v>55</v>
      </c>
      <c r="DU111" s="182">
        <v>5666765.0869200006</v>
      </c>
      <c r="DV111" s="167">
        <f t="shared" si="319"/>
        <v>1</v>
      </c>
      <c r="DW111" s="167">
        <f t="shared" si="319"/>
        <v>154805.82909285091</v>
      </c>
    </row>
    <row r="112" spans="1:127" ht="47.25" customHeight="1" x14ac:dyDescent="0.25">
      <c r="A112" s="154"/>
      <c r="B112" s="176">
        <v>84</v>
      </c>
      <c r="C112" s="310" t="s">
        <v>315</v>
      </c>
      <c r="D112" s="210" t="s">
        <v>316</v>
      </c>
      <c r="E112" s="158">
        <v>25969</v>
      </c>
      <c r="F112" s="201">
        <v>1.61</v>
      </c>
      <c r="G112" s="168">
        <v>1</v>
      </c>
      <c r="H112" s="169"/>
      <c r="I112" s="169"/>
      <c r="J112" s="169"/>
      <c r="K112" s="106"/>
      <c r="L112" s="180">
        <v>1.4</v>
      </c>
      <c r="M112" s="180">
        <v>1.68</v>
      </c>
      <c r="N112" s="180">
        <v>2.23</v>
      </c>
      <c r="O112" s="181">
        <v>2.57</v>
      </c>
      <c r="P112" s="182">
        <v>0</v>
      </c>
      <c r="Q112" s="182">
        <f t="shared" si="402"/>
        <v>0</v>
      </c>
      <c r="R112" s="182"/>
      <c r="S112" s="182">
        <f t="shared" si="403"/>
        <v>0</v>
      </c>
      <c r="T112" s="182"/>
      <c r="U112" s="182">
        <f t="shared" si="404"/>
        <v>0</v>
      </c>
      <c r="V112" s="182"/>
      <c r="W112" s="183">
        <f t="shared" si="405"/>
        <v>0</v>
      </c>
      <c r="X112" s="183"/>
      <c r="Y112" s="183">
        <v>0</v>
      </c>
      <c r="Z112" s="183"/>
      <c r="AA112" s="183">
        <v>0</v>
      </c>
      <c r="AB112" s="182">
        <f t="shared" si="406"/>
        <v>0</v>
      </c>
      <c r="AC112" s="182">
        <f t="shared" si="406"/>
        <v>0</v>
      </c>
      <c r="AD112" s="182"/>
      <c r="AE112" s="182">
        <f t="shared" si="407"/>
        <v>0</v>
      </c>
      <c r="AF112" s="182"/>
      <c r="AG112" s="182"/>
      <c r="AH112" s="182">
        <v>2</v>
      </c>
      <c r="AI112" s="182">
        <f t="shared" si="408"/>
        <v>128775.07720000001</v>
      </c>
      <c r="AJ112" s="182"/>
      <c r="AK112" s="182"/>
      <c r="AL112" s="182"/>
      <c r="AM112" s="182"/>
      <c r="AN112" s="184"/>
      <c r="AO112" s="182">
        <f t="shared" si="409"/>
        <v>0</v>
      </c>
      <c r="AP112" s="182"/>
      <c r="AQ112" s="183">
        <f t="shared" si="410"/>
        <v>0</v>
      </c>
      <c r="AR112" s="182"/>
      <c r="AS112" s="182">
        <f t="shared" si="448"/>
        <v>0</v>
      </c>
      <c r="AT112" s="182"/>
      <c r="AU112" s="182">
        <f t="shared" si="412"/>
        <v>0</v>
      </c>
      <c r="AV112" s="188"/>
      <c r="AW112" s="182">
        <f t="shared" si="413"/>
        <v>0</v>
      </c>
      <c r="AX112" s="182"/>
      <c r="AY112" s="187">
        <f t="shared" si="414"/>
        <v>0</v>
      </c>
      <c r="AZ112" s="182"/>
      <c r="BA112" s="182">
        <f t="shared" si="415"/>
        <v>0</v>
      </c>
      <c r="BB112" s="182"/>
      <c r="BC112" s="182">
        <f t="shared" si="416"/>
        <v>0</v>
      </c>
      <c r="BD112" s="182"/>
      <c r="BE112" s="182">
        <f t="shared" si="417"/>
        <v>0</v>
      </c>
      <c r="BF112" s="182"/>
      <c r="BG112" s="182">
        <f t="shared" si="418"/>
        <v>0</v>
      </c>
      <c r="BH112" s="182"/>
      <c r="BI112" s="183">
        <f t="shared" si="419"/>
        <v>0</v>
      </c>
      <c r="BJ112" s="182"/>
      <c r="BK112" s="183">
        <f t="shared" si="420"/>
        <v>0</v>
      </c>
      <c r="BL112" s="182"/>
      <c r="BM112" s="182">
        <f t="shared" si="421"/>
        <v>0</v>
      </c>
      <c r="BN112" s="182"/>
      <c r="BO112" s="182">
        <f t="shared" si="422"/>
        <v>0</v>
      </c>
      <c r="BP112" s="182"/>
      <c r="BQ112" s="182">
        <f t="shared" si="423"/>
        <v>0</v>
      </c>
      <c r="BR112" s="182"/>
      <c r="BS112" s="183">
        <f t="shared" si="424"/>
        <v>0</v>
      </c>
      <c r="BT112" s="182"/>
      <c r="BU112" s="182">
        <f t="shared" ref="BU112:BU113" si="450">(BT112*$E112*$F112*$G112*$M112*$BU$12)/12*10+(BT112*$E112*$F112*$G112*$M112*$BU$13)/12*2</f>
        <v>0</v>
      </c>
      <c r="BV112" s="182"/>
      <c r="BW112" s="182">
        <f t="shared" si="426"/>
        <v>0</v>
      </c>
      <c r="BX112" s="182">
        <v>1</v>
      </c>
      <c r="BY112" s="183">
        <f t="shared" si="427"/>
        <v>94732.566064416009</v>
      </c>
      <c r="BZ112" s="182">
        <v>3</v>
      </c>
      <c r="CA112" s="187">
        <f t="shared" si="428"/>
        <v>275398.96544117999</v>
      </c>
      <c r="CB112" s="182"/>
      <c r="CC112" s="182">
        <f t="shared" si="429"/>
        <v>0</v>
      </c>
      <c r="CD112" s="182"/>
      <c r="CE112" s="182">
        <f t="shared" si="430"/>
        <v>0</v>
      </c>
      <c r="CF112" s="182"/>
      <c r="CG112" s="182">
        <f t="shared" si="431"/>
        <v>0</v>
      </c>
      <c r="CH112" s="182">
        <v>5</v>
      </c>
      <c r="CI112" s="182">
        <f t="shared" si="432"/>
        <v>391394.87225285999</v>
      </c>
      <c r="CJ112" s="182"/>
      <c r="CK112" s="182"/>
      <c r="CL112" s="182"/>
      <c r="CM112" s="183">
        <f t="shared" si="433"/>
        <v>0</v>
      </c>
      <c r="CN112" s="182"/>
      <c r="CO112" s="183">
        <f t="shared" si="434"/>
        <v>0</v>
      </c>
      <c r="CP112" s="182"/>
      <c r="CQ112" s="182">
        <f t="shared" si="435"/>
        <v>0</v>
      </c>
      <c r="CR112" s="182">
        <v>1</v>
      </c>
      <c r="CS112" s="182">
        <f t="shared" si="436"/>
        <v>70174.710080743331</v>
      </c>
      <c r="CT112" s="182"/>
      <c r="CU112" s="182">
        <f t="shared" si="447"/>
        <v>0</v>
      </c>
      <c r="CV112" s="182"/>
      <c r="CW112" s="182">
        <v>0</v>
      </c>
      <c r="CX112" s="182"/>
      <c r="CY112" s="182">
        <f t="shared" si="438"/>
        <v>0</v>
      </c>
      <c r="CZ112" s="182"/>
      <c r="DA112" s="182">
        <v>0</v>
      </c>
      <c r="DB112" s="188"/>
      <c r="DC112" s="182">
        <f t="shared" si="439"/>
        <v>0</v>
      </c>
      <c r="DD112" s="182"/>
      <c r="DE112" s="187"/>
      <c r="DF112" s="182"/>
      <c r="DG112" s="182">
        <f t="shared" si="441"/>
        <v>0</v>
      </c>
      <c r="DH112" s="189"/>
      <c r="DI112" s="182">
        <f t="shared" si="442"/>
        <v>0</v>
      </c>
      <c r="DJ112" s="182"/>
      <c r="DK112" s="182">
        <f t="shared" si="449"/>
        <v>0</v>
      </c>
      <c r="DL112" s="182"/>
      <c r="DM112" s="182">
        <f t="shared" si="444"/>
        <v>0</v>
      </c>
      <c r="DN112" s="182"/>
      <c r="DO112" s="190">
        <f t="shared" si="445"/>
        <v>0</v>
      </c>
      <c r="DP112" s="182"/>
      <c r="DQ112" s="182"/>
      <c r="DR112" s="183">
        <f t="shared" si="446"/>
        <v>12</v>
      </c>
      <c r="DS112" s="183">
        <f t="shared" si="446"/>
        <v>960476.19103919924</v>
      </c>
      <c r="DT112" s="182">
        <v>12</v>
      </c>
      <c r="DU112" s="182">
        <v>877621.66249333334</v>
      </c>
      <c r="DV112" s="167">
        <f t="shared" si="319"/>
        <v>0</v>
      </c>
      <c r="DW112" s="167">
        <f t="shared" si="319"/>
        <v>82854.528545865905</v>
      </c>
    </row>
    <row r="113" spans="1:127" ht="43.5" customHeight="1" x14ac:dyDescent="0.25">
      <c r="A113" s="154"/>
      <c r="B113" s="176">
        <v>85</v>
      </c>
      <c r="C113" s="310" t="s">
        <v>317</v>
      </c>
      <c r="D113" s="210" t="s">
        <v>318</v>
      </c>
      <c r="E113" s="158">
        <v>25969</v>
      </c>
      <c r="F113" s="201">
        <v>2.99</v>
      </c>
      <c r="G113" s="168">
        <v>1</v>
      </c>
      <c r="H113" s="169"/>
      <c r="I113" s="169"/>
      <c r="J113" s="169"/>
      <c r="K113" s="106"/>
      <c r="L113" s="180">
        <v>1.4</v>
      </c>
      <c r="M113" s="180">
        <v>1.68</v>
      </c>
      <c r="N113" s="180">
        <v>2.23</v>
      </c>
      <c r="O113" s="181">
        <v>2.57</v>
      </c>
      <c r="P113" s="182">
        <v>0</v>
      </c>
      <c r="Q113" s="182">
        <f t="shared" si="402"/>
        <v>0</v>
      </c>
      <c r="R113" s="182">
        <v>2</v>
      </c>
      <c r="S113" s="182">
        <f t="shared" si="403"/>
        <v>239153.71480000005</v>
      </c>
      <c r="T113" s="182"/>
      <c r="U113" s="182">
        <f t="shared" si="404"/>
        <v>0</v>
      </c>
      <c r="V113" s="182"/>
      <c r="W113" s="183">
        <f t="shared" si="405"/>
        <v>0</v>
      </c>
      <c r="X113" s="183"/>
      <c r="Y113" s="183">
        <v>0</v>
      </c>
      <c r="Z113" s="183"/>
      <c r="AA113" s="183">
        <v>0</v>
      </c>
      <c r="AB113" s="182">
        <f t="shared" si="406"/>
        <v>0</v>
      </c>
      <c r="AC113" s="182">
        <f t="shared" si="406"/>
        <v>0</v>
      </c>
      <c r="AD113" s="182"/>
      <c r="AE113" s="182">
        <f t="shared" si="407"/>
        <v>0</v>
      </c>
      <c r="AF113" s="182"/>
      <c r="AG113" s="182"/>
      <c r="AH113" s="182">
        <v>3</v>
      </c>
      <c r="AI113" s="182">
        <f t="shared" si="408"/>
        <v>358730.5722</v>
      </c>
      <c r="AJ113" s="182"/>
      <c r="AK113" s="182"/>
      <c r="AL113" s="182"/>
      <c r="AM113" s="182"/>
      <c r="AN113" s="184"/>
      <c r="AO113" s="182">
        <f t="shared" si="409"/>
        <v>0</v>
      </c>
      <c r="AP113" s="182"/>
      <c r="AQ113" s="183">
        <f t="shared" si="410"/>
        <v>0</v>
      </c>
      <c r="AR113" s="182"/>
      <c r="AS113" s="182">
        <f t="shared" si="448"/>
        <v>0</v>
      </c>
      <c r="AT113" s="182"/>
      <c r="AU113" s="182">
        <f t="shared" ref="AU113" si="451">(AT113*$E113*$F113*$G113*$M113*$AU$12)/12*10+(AT113*$E113*$F113*$G113*$M113*$AU$13)/12*2</f>
        <v>0</v>
      </c>
      <c r="AV113" s="188"/>
      <c r="AW113" s="182">
        <f t="shared" si="413"/>
        <v>0</v>
      </c>
      <c r="AX113" s="182"/>
      <c r="AY113" s="187">
        <f t="shared" si="414"/>
        <v>0</v>
      </c>
      <c r="AZ113" s="182"/>
      <c r="BA113" s="182">
        <f t="shared" si="415"/>
        <v>0</v>
      </c>
      <c r="BB113" s="182"/>
      <c r="BC113" s="182">
        <f t="shared" si="416"/>
        <v>0</v>
      </c>
      <c r="BD113" s="182"/>
      <c r="BE113" s="182">
        <f t="shared" si="417"/>
        <v>0</v>
      </c>
      <c r="BF113" s="182"/>
      <c r="BG113" s="182">
        <f t="shared" si="418"/>
        <v>0</v>
      </c>
      <c r="BH113" s="182"/>
      <c r="BI113" s="183">
        <f t="shared" si="419"/>
        <v>0</v>
      </c>
      <c r="BJ113" s="182"/>
      <c r="BK113" s="183">
        <f t="shared" si="420"/>
        <v>0</v>
      </c>
      <c r="BL113" s="182">
        <v>1</v>
      </c>
      <c r="BM113" s="182">
        <f t="shared" si="421"/>
        <v>151740.64050345198</v>
      </c>
      <c r="BN113" s="182">
        <v>5</v>
      </c>
      <c r="BO113" s="182">
        <f t="shared" si="422"/>
        <v>717461.14440000011</v>
      </c>
      <c r="BP113" s="182"/>
      <c r="BQ113" s="182">
        <f t="shared" si="423"/>
        <v>0</v>
      </c>
      <c r="BR113" s="182"/>
      <c r="BS113" s="183">
        <f t="shared" si="424"/>
        <v>0</v>
      </c>
      <c r="BT113" s="182"/>
      <c r="BU113" s="182">
        <f t="shared" si="450"/>
        <v>0</v>
      </c>
      <c r="BV113" s="182"/>
      <c r="BW113" s="182">
        <f t="shared" si="426"/>
        <v>0</v>
      </c>
      <c r="BX113" s="182"/>
      <c r="BY113" s="183">
        <f t="shared" ref="BY113:BY114" si="452">(BX113*$E113*$F113*$G113*$M113*$BY$12)</f>
        <v>0</v>
      </c>
      <c r="BZ113" s="182"/>
      <c r="CA113" s="187">
        <f t="shared" ref="CA113:CA114" si="453">(BZ113*$E113*$F113*$G113*$M113*$CA$12)</f>
        <v>0</v>
      </c>
      <c r="CB113" s="182"/>
      <c r="CC113" s="182">
        <f t="shared" si="429"/>
        <v>0</v>
      </c>
      <c r="CD113" s="182"/>
      <c r="CE113" s="182">
        <f t="shared" si="430"/>
        <v>0</v>
      </c>
      <c r="CF113" s="182"/>
      <c r="CG113" s="182">
        <f t="shared" si="431"/>
        <v>0</v>
      </c>
      <c r="CH113" s="182"/>
      <c r="CI113" s="182">
        <f t="shared" si="432"/>
        <v>0</v>
      </c>
      <c r="CJ113" s="182"/>
      <c r="CK113" s="182"/>
      <c r="CL113" s="182"/>
      <c r="CM113" s="183">
        <f t="shared" si="433"/>
        <v>0</v>
      </c>
      <c r="CN113" s="182"/>
      <c r="CO113" s="183">
        <f t="shared" si="434"/>
        <v>0</v>
      </c>
      <c r="CP113" s="182"/>
      <c r="CQ113" s="182">
        <f t="shared" si="435"/>
        <v>0</v>
      </c>
      <c r="CR113" s="182"/>
      <c r="CS113" s="182">
        <f t="shared" ref="CS113:CS114" si="454">(CR113*$E113*$F113*$G113*$L113*$CS$12)/12*10+(CR113*$E113*$F113*$G113*$L113*$CS$13)/12*2</f>
        <v>0</v>
      </c>
      <c r="CT113" s="182"/>
      <c r="CU113" s="182">
        <f t="shared" si="447"/>
        <v>0</v>
      </c>
      <c r="CV113" s="182"/>
      <c r="CW113" s="182">
        <v>0</v>
      </c>
      <c r="CX113" s="182"/>
      <c r="CY113" s="182">
        <f t="shared" si="438"/>
        <v>0</v>
      </c>
      <c r="CZ113" s="182"/>
      <c r="DA113" s="182">
        <v>0</v>
      </c>
      <c r="DB113" s="188"/>
      <c r="DC113" s="182">
        <f t="shared" si="439"/>
        <v>0</v>
      </c>
      <c r="DD113" s="182"/>
      <c r="DE113" s="187"/>
      <c r="DF113" s="182">
        <v>1</v>
      </c>
      <c r="DG113" s="182">
        <f t="shared" si="441"/>
        <v>130447.48080000002</v>
      </c>
      <c r="DH113" s="189"/>
      <c r="DI113" s="182">
        <f t="shared" si="442"/>
        <v>0</v>
      </c>
      <c r="DJ113" s="182"/>
      <c r="DK113" s="182">
        <f t="shared" si="449"/>
        <v>0</v>
      </c>
      <c r="DL113" s="182"/>
      <c r="DM113" s="182">
        <f t="shared" si="444"/>
        <v>0</v>
      </c>
      <c r="DN113" s="182"/>
      <c r="DO113" s="190">
        <f t="shared" si="445"/>
        <v>0</v>
      </c>
      <c r="DP113" s="182"/>
      <c r="DQ113" s="182"/>
      <c r="DR113" s="183">
        <f t="shared" si="446"/>
        <v>12</v>
      </c>
      <c r="DS113" s="183">
        <f t="shared" si="446"/>
        <v>1597533.5527034521</v>
      </c>
      <c r="DT113" s="182">
        <v>12</v>
      </c>
      <c r="DU113" s="182">
        <v>1576240.3930000002</v>
      </c>
      <c r="DV113" s="167">
        <f t="shared" si="319"/>
        <v>0</v>
      </c>
      <c r="DW113" s="167">
        <f t="shared" si="319"/>
        <v>21293.159703451907</v>
      </c>
    </row>
    <row r="114" spans="1:127" ht="45.75" customHeight="1" x14ac:dyDescent="0.25">
      <c r="A114" s="154"/>
      <c r="B114" s="176">
        <v>86</v>
      </c>
      <c r="C114" s="310" t="s">
        <v>319</v>
      </c>
      <c r="D114" s="210" t="s">
        <v>320</v>
      </c>
      <c r="E114" s="158">
        <v>25969</v>
      </c>
      <c r="F114" s="201">
        <v>3.54</v>
      </c>
      <c r="G114" s="168">
        <v>1</v>
      </c>
      <c r="H114" s="169"/>
      <c r="I114" s="169"/>
      <c r="J114" s="169"/>
      <c r="K114" s="106"/>
      <c r="L114" s="180">
        <v>1.4</v>
      </c>
      <c r="M114" s="180">
        <v>1.68</v>
      </c>
      <c r="N114" s="180">
        <v>2.23</v>
      </c>
      <c r="O114" s="181">
        <v>2.57</v>
      </c>
      <c r="P114" s="182">
        <v>2</v>
      </c>
      <c r="Q114" s="182">
        <f t="shared" si="402"/>
        <v>283145.20079999999</v>
      </c>
      <c r="R114" s="182">
        <v>11</v>
      </c>
      <c r="S114" s="182">
        <f t="shared" si="403"/>
        <v>1557298.6044000001</v>
      </c>
      <c r="T114" s="182"/>
      <c r="U114" s="182">
        <f t="shared" si="404"/>
        <v>0</v>
      </c>
      <c r="V114" s="182"/>
      <c r="W114" s="183">
        <f t="shared" si="405"/>
        <v>0</v>
      </c>
      <c r="X114" s="183"/>
      <c r="Y114" s="183">
        <v>0</v>
      </c>
      <c r="Z114" s="183"/>
      <c r="AA114" s="183">
        <v>0</v>
      </c>
      <c r="AB114" s="182">
        <f t="shared" si="406"/>
        <v>0</v>
      </c>
      <c r="AC114" s="182">
        <f t="shared" si="406"/>
        <v>0</v>
      </c>
      <c r="AD114" s="182"/>
      <c r="AE114" s="182">
        <f t="shared" si="407"/>
        <v>0</v>
      </c>
      <c r="AF114" s="182"/>
      <c r="AG114" s="182"/>
      <c r="AH114" s="182"/>
      <c r="AI114" s="182">
        <f t="shared" si="408"/>
        <v>0</v>
      </c>
      <c r="AJ114" s="182"/>
      <c r="AK114" s="182"/>
      <c r="AL114" s="182"/>
      <c r="AM114" s="182"/>
      <c r="AN114" s="184"/>
      <c r="AO114" s="182">
        <f t="shared" si="409"/>
        <v>0</v>
      </c>
      <c r="AP114" s="182"/>
      <c r="AQ114" s="183">
        <f t="shared" si="410"/>
        <v>0</v>
      </c>
      <c r="AR114" s="182"/>
      <c r="AS114" s="182">
        <f t="shared" si="448"/>
        <v>0</v>
      </c>
      <c r="AT114" s="182"/>
      <c r="AU114" s="182">
        <f t="shared" ref="AU114" si="455">(AT114*$E114*$F114*$G114*$M114*$AU$12)</f>
        <v>0</v>
      </c>
      <c r="AV114" s="188"/>
      <c r="AW114" s="182">
        <f t="shared" si="413"/>
        <v>0</v>
      </c>
      <c r="AX114" s="182"/>
      <c r="AY114" s="187">
        <f t="shared" si="414"/>
        <v>0</v>
      </c>
      <c r="AZ114" s="182"/>
      <c r="BA114" s="182">
        <f t="shared" si="415"/>
        <v>0</v>
      </c>
      <c r="BB114" s="182"/>
      <c r="BC114" s="182">
        <f t="shared" si="416"/>
        <v>0</v>
      </c>
      <c r="BD114" s="182"/>
      <c r="BE114" s="182">
        <f t="shared" si="417"/>
        <v>0</v>
      </c>
      <c r="BF114" s="182"/>
      <c r="BG114" s="182">
        <f t="shared" si="418"/>
        <v>0</v>
      </c>
      <c r="BH114" s="182"/>
      <c r="BI114" s="183">
        <f t="shared" si="419"/>
        <v>0</v>
      </c>
      <c r="BJ114" s="182"/>
      <c r="BK114" s="183">
        <f t="shared" si="420"/>
        <v>0</v>
      </c>
      <c r="BL114" s="182"/>
      <c r="BM114" s="182">
        <f t="shared" ref="BM114" si="456">(BL114*$E114*$F114*$G114*$L114*$BM$12)</f>
        <v>0</v>
      </c>
      <c r="BN114" s="182"/>
      <c r="BO114" s="182">
        <f t="shared" si="422"/>
        <v>0</v>
      </c>
      <c r="BP114" s="182"/>
      <c r="BQ114" s="182">
        <f t="shared" si="423"/>
        <v>0</v>
      </c>
      <c r="BR114" s="182"/>
      <c r="BS114" s="183">
        <f t="shared" si="424"/>
        <v>0</v>
      </c>
      <c r="BT114" s="182">
        <v>12</v>
      </c>
      <c r="BU114" s="182">
        <f t="shared" ref="BU114" si="457">(BT114*$E114*$F114*$G114*$M114*$BU$12)/12*10+(BT114*$E114*$F114*$G114*$M114*$BU$13)/12+(BT114*$E114*$F114*$G114*$M114*$BU$13*$BU$15)/12</f>
        <v>2064594.3134277889</v>
      </c>
      <c r="BV114" s="182"/>
      <c r="BW114" s="182">
        <f t="shared" si="426"/>
        <v>0</v>
      </c>
      <c r="BX114" s="182"/>
      <c r="BY114" s="183">
        <f t="shared" si="452"/>
        <v>0</v>
      </c>
      <c r="BZ114" s="182"/>
      <c r="CA114" s="187">
        <f t="shared" si="453"/>
        <v>0</v>
      </c>
      <c r="CB114" s="182"/>
      <c r="CC114" s="182">
        <f t="shared" si="429"/>
        <v>0</v>
      </c>
      <c r="CD114" s="182"/>
      <c r="CE114" s="182">
        <f t="shared" si="430"/>
        <v>0</v>
      </c>
      <c r="CF114" s="182"/>
      <c r="CG114" s="182">
        <f t="shared" si="431"/>
        <v>0</v>
      </c>
      <c r="CH114" s="182"/>
      <c r="CI114" s="182">
        <f t="shared" ref="CI114" si="458">(CH114*$E114*$F114*$G114*$M114*$CI$12)</f>
        <v>0</v>
      </c>
      <c r="CJ114" s="182"/>
      <c r="CK114" s="182"/>
      <c r="CL114" s="182"/>
      <c r="CM114" s="183">
        <f t="shared" si="433"/>
        <v>0</v>
      </c>
      <c r="CN114" s="182"/>
      <c r="CO114" s="183">
        <f t="shared" si="434"/>
        <v>0</v>
      </c>
      <c r="CP114" s="182"/>
      <c r="CQ114" s="182">
        <f t="shared" si="435"/>
        <v>0</v>
      </c>
      <c r="CR114" s="182"/>
      <c r="CS114" s="182">
        <f t="shared" si="454"/>
        <v>0</v>
      </c>
      <c r="CT114" s="182"/>
      <c r="CU114" s="182">
        <f t="shared" si="447"/>
        <v>0</v>
      </c>
      <c r="CV114" s="182"/>
      <c r="CW114" s="182">
        <v>0</v>
      </c>
      <c r="CX114" s="182"/>
      <c r="CY114" s="182">
        <f t="shared" si="438"/>
        <v>0</v>
      </c>
      <c r="CZ114" s="182"/>
      <c r="DA114" s="182">
        <v>0</v>
      </c>
      <c r="DB114" s="188"/>
      <c r="DC114" s="182">
        <f t="shared" si="439"/>
        <v>0</v>
      </c>
      <c r="DD114" s="182"/>
      <c r="DE114" s="187"/>
      <c r="DF114" s="182"/>
      <c r="DG114" s="182">
        <f t="shared" si="441"/>
        <v>0</v>
      </c>
      <c r="DH114" s="189"/>
      <c r="DI114" s="182">
        <f t="shared" si="442"/>
        <v>0</v>
      </c>
      <c r="DJ114" s="182"/>
      <c r="DK114" s="182">
        <f t="shared" si="449"/>
        <v>0</v>
      </c>
      <c r="DL114" s="182"/>
      <c r="DM114" s="182">
        <f t="shared" si="444"/>
        <v>0</v>
      </c>
      <c r="DN114" s="182"/>
      <c r="DO114" s="190">
        <f t="shared" si="445"/>
        <v>0</v>
      </c>
      <c r="DP114" s="182"/>
      <c r="DQ114" s="182"/>
      <c r="DR114" s="183">
        <f t="shared" si="446"/>
        <v>25</v>
      </c>
      <c r="DS114" s="183">
        <f t="shared" si="446"/>
        <v>3905038.118627789</v>
      </c>
      <c r="DT114" s="182">
        <v>20</v>
      </c>
      <c r="DU114" s="182">
        <v>3047671.9795200005</v>
      </c>
      <c r="DV114" s="167">
        <f t="shared" si="319"/>
        <v>5</v>
      </c>
      <c r="DW114" s="167">
        <f t="shared" si="319"/>
        <v>857366.13910778845</v>
      </c>
    </row>
    <row r="115" spans="1:127" ht="15.75" customHeight="1" x14ac:dyDescent="0.25">
      <c r="A115" s="170">
        <v>14</v>
      </c>
      <c r="B115" s="197"/>
      <c r="C115" s="198"/>
      <c r="D115" s="211" t="s">
        <v>321</v>
      </c>
      <c r="E115" s="158">
        <v>25969</v>
      </c>
      <c r="F115" s="199">
        <v>1.36</v>
      </c>
      <c r="G115" s="171"/>
      <c r="H115" s="169"/>
      <c r="I115" s="169"/>
      <c r="J115" s="169"/>
      <c r="K115" s="173"/>
      <c r="L115" s="174">
        <v>1.4</v>
      </c>
      <c r="M115" s="174">
        <v>1.68</v>
      </c>
      <c r="N115" s="174">
        <v>2.23</v>
      </c>
      <c r="O115" s="175">
        <v>2.57</v>
      </c>
      <c r="P115" s="166">
        <f t="shared" ref="P115:CA115" si="459">SUM(P116:P118)</f>
        <v>814</v>
      </c>
      <c r="Q115" s="166">
        <f t="shared" si="459"/>
        <v>42577468.756199993</v>
      </c>
      <c r="R115" s="166">
        <f t="shared" si="459"/>
        <v>19</v>
      </c>
      <c r="S115" s="166">
        <f t="shared" si="459"/>
        <v>1322144.1156000001</v>
      </c>
      <c r="T115" s="166">
        <f t="shared" si="459"/>
        <v>95</v>
      </c>
      <c r="U115" s="166">
        <f t="shared" si="459"/>
        <v>6575586.4686749997</v>
      </c>
      <c r="V115" s="166">
        <f t="shared" si="459"/>
        <v>3</v>
      </c>
      <c r="W115" s="166">
        <f t="shared" si="459"/>
        <v>241355.95331164796</v>
      </c>
      <c r="X115" s="166">
        <v>4</v>
      </c>
      <c r="Y115" s="166">
        <v>430607.57039999997</v>
      </c>
      <c r="Z115" s="166">
        <v>6</v>
      </c>
      <c r="AA115" s="166">
        <v>637665.67871999997</v>
      </c>
      <c r="AB115" s="166">
        <f t="shared" si="459"/>
        <v>10</v>
      </c>
      <c r="AC115" s="166">
        <f t="shared" si="459"/>
        <v>1068273.2491200001</v>
      </c>
      <c r="AD115" s="166">
        <f t="shared" si="459"/>
        <v>0</v>
      </c>
      <c r="AE115" s="166">
        <f t="shared" si="459"/>
        <v>0</v>
      </c>
      <c r="AF115" s="166">
        <f t="shared" si="459"/>
        <v>0</v>
      </c>
      <c r="AG115" s="166">
        <f t="shared" si="459"/>
        <v>0</v>
      </c>
      <c r="AH115" s="166">
        <f t="shared" si="459"/>
        <v>88</v>
      </c>
      <c r="AI115" s="166">
        <f t="shared" si="459"/>
        <v>4456482.9581999993</v>
      </c>
      <c r="AJ115" s="166">
        <f>SUM(AJ116:AJ118)</f>
        <v>0</v>
      </c>
      <c r="AK115" s="166">
        <f>SUM(AK116:AK118)</f>
        <v>0</v>
      </c>
      <c r="AL115" s="166">
        <f t="shared" si="459"/>
        <v>0</v>
      </c>
      <c r="AM115" s="166">
        <f t="shared" si="459"/>
        <v>0</v>
      </c>
      <c r="AN115" s="166">
        <f t="shared" si="459"/>
        <v>0</v>
      </c>
      <c r="AO115" s="166">
        <f t="shared" si="459"/>
        <v>0</v>
      </c>
      <c r="AP115" s="166">
        <f t="shared" si="459"/>
        <v>211</v>
      </c>
      <c r="AQ115" s="166">
        <f t="shared" si="459"/>
        <v>14514136.425600002</v>
      </c>
      <c r="AR115" s="166">
        <f t="shared" si="459"/>
        <v>131</v>
      </c>
      <c r="AS115" s="166">
        <f t="shared" si="459"/>
        <v>6306702.4532561004</v>
      </c>
      <c r="AT115" s="166">
        <f t="shared" si="459"/>
        <v>160</v>
      </c>
      <c r="AU115" s="166">
        <f t="shared" si="459"/>
        <v>9930325.8366103694</v>
      </c>
      <c r="AV115" s="166">
        <f t="shared" si="459"/>
        <v>68</v>
      </c>
      <c r="AW115" s="166">
        <f t="shared" si="459"/>
        <v>7554322.5100000044</v>
      </c>
      <c r="AX115" s="166">
        <f t="shared" si="459"/>
        <v>19</v>
      </c>
      <c r="AY115" s="166">
        <f t="shared" si="459"/>
        <v>883727.14751999988</v>
      </c>
      <c r="AZ115" s="166">
        <f t="shared" si="459"/>
        <v>0</v>
      </c>
      <c r="BA115" s="166">
        <f t="shared" si="459"/>
        <v>0</v>
      </c>
      <c r="BB115" s="166">
        <f t="shared" si="459"/>
        <v>0</v>
      </c>
      <c r="BC115" s="166">
        <f t="shared" si="459"/>
        <v>0</v>
      </c>
      <c r="BD115" s="166">
        <f t="shared" si="459"/>
        <v>0</v>
      </c>
      <c r="BE115" s="166">
        <f t="shared" si="459"/>
        <v>0</v>
      </c>
      <c r="BF115" s="166">
        <f t="shared" si="459"/>
        <v>0</v>
      </c>
      <c r="BG115" s="166">
        <f t="shared" si="459"/>
        <v>0</v>
      </c>
      <c r="BH115" s="166">
        <f t="shared" si="459"/>
        <v>0</v>
      </c>
      <c r="BI115" s="166">
        <f t="shared" si="459"/>
        <v>0</v>
      </c>
      <c r="BJ115" s="166">
        <f t="shared" si="459"/>
        <v>0</v>
      </c>
      <c r="BK115" s="166">
        <f t="shared" si="459"/>
        <v>0</v>
      </c>
      <c r="BL115" s="166">
        <f t="shared" si="459"/>
        <v>11</v>
      </c>
      <c r="BM115" s="166">
        <f t="shared" si="459"/>
        <v>798049.97507961583</v>
      </c>
      <c r="BN115" s="166">
        <f t="shared" si="459"/>
        <v>0</v>
      </c>
      <c r="BO115" s="166">
        <f t="shared" si="459"/>
        <v>0</v>
      </c>
      <c r="BP115" s="166">
        <f t="shared" si="459"/>
        <v>0</v>
      </c>
      <c r="BQ115" s="166">
        <f t="shared" si="459"/>
        <v>0</v>
      </c>
      <c r="BR115" s="166">
        <f t="shared" si="459"/>
        <v>0</v>
      </c>
      <c r="BS115" s="166">
        <f t="shared" si="459"/>
        <v>0</v>
      </c>
      <c r="BT115" s="166">
        <f t="shared" si="459"/>
        <v>22</v>
      </c>
      <c r="BU115" s="166">
        <f t="shared" si="459"/>
        <v>1550015.9911674815</v>
      </c>
      <c r="BV115" s="166">
        <f t="shared" si="459"/>
        <v>0</v>
      </c>
      <c r="BW115" s="166">
        <f t="shared" si="459"/>
        <v>0</v>
      </c>
      <c r="BX115" s="166">
        <f t="shared" si="459"/>
        <v>5</v>
      </c>
      <c r="BY115" s="166">
        <f t="shared" si="459"/>
        <v>314705.91734668799</v>
      </c>
      <c r="BZ115" s="166">
        <f t="shared" si="459"/>
        <v>32</v>
      </c>
      <c r="CA115" s="166">
        <f t="shared" si="459"/>
        <v>1798364.4582203999</v>
      </c>
      <c r="CB115" s="166">
        <f t="shared" ref="CB115:DQ115" si="460">SUM(CB116:CB118)</f>
        <v>0</v>
      </c>
      <c r="CC115" s="166">
        <f t="shared" si="460"/>
        <v>0</v>
      </c>
      <c r="CD115" s="166">
        <f t="shared" si="460"/>
        <v>0</v>
      </c>
      <c r="CE115" s="166">
        <f t="shared" si="460"/>
        <v>0</v>
      </c>
      <c r="CF115" s="166">
        <f t="shared" si="460"/>
        <v>146</v>
      </c>
      <c r="CG115" s="166">
        <f t="shared" si="460"/>
        <v>8058076.8239999991</v>
      </c>
      <c r="CH115" s="166">
        <f t="shared" si="460"/>
        <v>11</v>
      </c>
      <c r="CI115" s="166">
        <f t="shared" si="460"/>
        <v>882643.82263847999</v>
      </c>
      <c r="CJ115" s="166">
        <f t="shared" si="460"/>
        <v>0</v>
      </c>
      <c r="CK115" s="166">
        <f t="shared" si="460"/>
        <v>0</v>
      </c>
      <c r="CL115" s="166">
        <f t="shared" si="460"/>
        <v>0</v>
      </c>
      <c r="CM115" s="166">
        <f t="shared" si="460"/>
        <v>0</v>
      </c>
      <c r="CN115" s="166">
        <f t="shared" si="460"/>
        <v>20</v>
      </c>
      <c r="CO115" s="166">
        <f t="shared" si="460"/>
        <v>1012167.7439999999</v>
      </c>
      <c r="CP115" s="166">
        <f t="shared" si="460"/>
        <v>18</v>
      </c>
      <c r="CQ115" s="166">
        <f t="shared" si="460"/>
        <v>1024591.57952256</v>
      </c>
      <c r="CR115" s="166">
        <f t="shared" si="460"/>
        <v>28</v>
      </c>
      <c r="CS115" s="166">
        <f t="shared" si="460"/>
        <v>1217518.8081515199</v>
      </c>
      <c r="CT115" s="166">
        <f t="shared" si="460"/>
        <v>2</v>
      </c>
      <c r="CU115" s="166">
        <f t="shared" si="460"/>
        <v>132820.44699671998</v>
      </c>
      <c r="CV115" s="166">
        <f t="shared" si="460"/>
        <v>55</v>
      </c>
      <c r="CW115" s="166">
        <v>3063770.57</v>
      </c>
      <c r="CX115" s="166">
        <f t="shared" si="460"/>
        <v>11</v>
      </c>
      <c r="CY115" s="166">
        <f t="shared" si="460"/>
        <v>448398.62607355195</v>
      </c>
      <c r="CZ115" s="166">
        <f t="shared" si="460"/>
        <v>0</v>
      </c>
      <c r="DA115" s="166">
        <v>0</v>
      </c>
      <c r="DB115" s="166">
        <f t="shared" si="460"/>
        <v>0</v>
      </c>
      <c r="DC115" s="166">
        <f t="shared" si="460"/>
        <v>0</v>
      </c>
      <c r="DD115" s="166">
        <f t="shared" si="460"/>
        <v>0</v>
      </c>
      <c r="DE115" s="166">
        <f t="shared" si="460"/>
        <v>0</v>
      </c>
      <c r="DF115" s="166">
        <f t="shared" si="460"/>
        <v>0</v>
      </c>
      <c r="DG115" s="166">
        <f t="shared" si="460"/>
        <v>0</v>
      </c>
      <c r="DH115" s="166">
        <f t="shared" si="460"/>
        <v>0</v>
      </c>
      <c r="DI115" s="166">
        <f t="shared" si="460"/>
        <v>0</v>
      </c>
      <c r="DJ115" s="166">
        <f t="shared" si="460"/>
        <v>10</v>
      </c>
      <c r="DK115" s="166">
        <f t="shared" si="460"/>
        <v>504696.08967875998</v>
      </c>
      <c r="DL115" s="166">
        <f t="shared" si="460"/>
        <v>0</v>
      </c>
      <c r="DM115" s="166">
        <f t="shared" si="460"/>
        <v>0</v>
      </c>
      <c r="DN115" s="166">
        <f t="shared" si="460"/>
        <v>2</v>
      </c>
      <c r="DO115" s="166">
        <f t="shared" si="460"/>
        <v>172190.0514</v>
      </c>
      <c r="DP115" s="166">
        <f t="shared" si="460"/>
        <v>0</v>
      </c>
      <c r="DQ115" s="166">
        <f t="shared" si="460"/>
        <v>0</v>
      </c>
      <c r="DR115" s="166">
        <f>SUM(DR116:DR118)</f>
        <v>1991</v>
      </c>
      <c r="DS115" s="166">
        <f t="shared" ref="DS115" si="461">SUM(DS116:DS118)</f>
        <v>116408536.77836888</v>
      </c>
      <c r="DT115" s="166">
        <v>1991</v>
      </c>
      <c r="DU115" s="166">
        <v>115316881.49310997</v>
      </c>
      <c r="DV115" s="167">
        <f t="shared" si="319"/>
        <v>0</v>
      </c>
      <c r="DW115" s="167">
        <f t="shared" si="319"/>
        <v>1091655.2852589041</v>
      </c>
    </row>
    <row r="116" spans="1:127" ht="30" customHeight="1" x14ac:dyDescent="0.25">
      <c r="A116" s="154"/>
      <c r="B116" s="176">
        <v>87</v>
      </c>
      <c r="C116" s="177" t="s">
        <v>322</v>
      </c>
      <c r="D116" s="210" t="s">
        <v>323</v>
      </c>
      <c r="E116" s="158">
        <v>25969</v>
      </c>
      <c r="F116" s="179">
        <v>0.84</v>
      </c>
      <c r="G116" s="168">
        <v>1</v>
      </c>
      <c r="H116" s="169"/>
      <c r="I116" s="169"/>
      <c r="J116" s="169"/>
      <c r="K116" s="106"/>
      <c r="L116" s="180">
        <v>1.4</v>
      </c>
      <c r="M116" s="180">
        <v>1.68</v>
      </c>
      <c r="N116" s="180">
        <v>2.23</v>
      </c>
      <c r="O116" s="181">
        <v>2.57</v>
      </c>
      <c r="P116" s="182">
        <v>361</v>
      </c>
      <c r="Q116" s="182">
        <f>(P116*$E116*$F116*$G116*$L116)</f>
        <v>11024775.384</v>
      </c>
      <c r="R116" s="182"/>
      <c r="S116" s="187">
        <f>(R116*$E116*$F116*$G116*$L116)</f>
        <v>0</v>
      </c>
      <c r="T116" s="182">
        <v>24</v>
      </c>
      <c r="U116" s="182">
        <f>(T116*$E116*$F116*$G116*$L116)</f>
        <v>732949.05599999998</v>
      </c>
      <c r="V116" s="182"/>
      <c r="W116" s="182">
        <f>(V116*$E116*$F116*$G116*$L116)</f>
        <v>0</v>
      </c>
      <c r="X116" s="182"/>
      <c r="Y116" s="182">
        <v>0</v>
      </c>
      <c r="Z116" s="182"/>
      <c r="AA116" s="182">
        <v>0</v>
      </c>
      <c r="AB116" s="182">
        <f>X116+Z116</f>
        <v>0</v>
      </c>
      <c r="AC116" s="182">
        <f>Y116+AA116</f>
        <v>0</v>
      </c>
      <c r="AD116" s="182"/>
      <c r="AE116" s="182">
        <f>(AD116*$E116*$F116*$G116*$L116)</f>
        <v>0</v>
      </c>
      <c r="AF116" s="182"/>
      <c r="AG116" s="182"/>
      <c r="AH116" s="182">
        <v>45</v>
      </c>
      <c r="AI116" s="182">
        <f>(AH116*$E116*$F116*$G116*$L116)</f>
        <v>1374279.4799999997</v>
      </c>
      <c r="AJ116" s="182"/>
      <c r="AK116" s="182"/>
      <c r="AL116" s="182"/>
      <c r="AM116" s="182"/>
      <c r="AN116" s="184"/>
      <c r="AO116" s="182">
        <f>(AN116*$E116*$F116*$G116*$L116)</f>
        <v>0</v>
      </c>
      <c r="AP116" s="182">
        <f>58-42-4</f>
        <v>12</v>
      </c>
      <c r="AQ116" s="182">
        <f>(AP116*$E116*$F116*$G116*$L116)</f>
        <v>366474.52799999999</v>
      </c>
      <c r="AR116" s="182">
        <v>80</v>
      </c>
      <c r="AS116" s="182">
        <f>(AR116*$E116*$F116*$G116*$L116)</f>
        <v>2443163.52</v>
      </c>
      <c r="AT116" s="182">
        <v>80</v>
      </c>
      <c r="AU116" s="183">
        <f>(AT116*$E116*$F116*$G116*$M116)</f>
        <v>2931796.2239999999</v>
      </c>
      <c r="AV116" s="188">
        <v>1</v>
      </c>
      <c r="AW116" s="182">
        <v>36647.449999999997</v>
      </c>
      <c r="AX116" s="182">
        <v>15</v>
      </c>
      <c r="AY116" s="187">
        <f>(AX116*$E116*$F116*$G116*$M116)</f>
        <v>549711.7919999999</v>
      </c>
      <c r="AZ116" s="182"/>
      <c r="BA116" s="182">
        <f>(AZ116*$E116*$F116*$G116*$L116*AO$12)</f>
        <v>0</v>
      </c>
      <c r="BB116" s="182"/>
      <c r="BC116" s="182">
        <f>(BB116*$E116*$F116*$G116*$L116*BC$12)</f>
        <v>0</v>
      </c>
      <c r="BD116" s="182"/>
      <c r="BE116" s="182">
        <f>(BD116*$E116*$F116*$G116*$L116*BE$12)</f>
        <v>0</v>
      </c>
      <c r="BF116" s="182"/>
      <c r="BG116" s="182">
        <f>(BF116*$E116*$F116*$G116*$L116)</f>
        <v>0</v>
      </c>
      <c r="BH116" s="182"/>
      <c r="BI116" s="182">
        <f t="shared" ref="BI116" si="462">(BH116*$E116*$F116*$G116*$L116)</f>
        <v>0</v>
      </c>
      <c r="BJ116" s="182"/>
      <c r="BK116" s="182"/>
      <c r="BL116" s="182">
        <v>3</v>
      </c>
      <c r="BM116" s="182">
        <f>(BL116*$E116*$F116*$G116*$L116)</f>
        <v>91618.631999999998</v>
      </c>
      <c r="BN116" s="182"/>
      <c r="BO116" s="182">
        <f>(BN116*$E116*$F116*$G116*$M116)</f>
        <v>0</v>
      </c>
      <c r="BP116" s="182"/>
      <c r="BQ116" s="182">
        <f>(BP116*$E116*$F116*$G116*$M116)</f>
        <v>0</v>
      </c>
      <c r="BR116" s="182"/>
      <c r="BS116" s="182">
        <f>(BR116*$E116*$F116*$G116*$M116)</f>
        <v>0</v>
      </c>
      <c r="BT116" s="182">
        <v>8</v>
      </c>
      <c r="BU116" s="182">
        <f>(BT116*$E116*$F116*$G116*$M116)</f>
        <v>293179.62239999999</v>
      </c>
      <c r="BV116" s="182"/>
      <c r="BW116" s="182">
        <f>(BV116*$E116*$F116*$G116*$M116)</f>
        <v>0</v>
      </c>
      <c r="BX116" s="182">
        <v>3</v>
      </c>
      <c r="BY116" s="182">
        <f>(BX116*$E116*$F116*$G116*$M116)</f>
        <v>109942.3584</v>
      </c>
      <c r="BZ116" s="182">
        <v>22</v>
      </c>
      <c r="CA116" s="187">
        <f>(BZ116*$E116*$F116*$G116*$M116)</f>
        <v>806243.96159999992</v>
      </c>
      <c r="CB116" s="182"/>
      <c r="CC116" s="182">
        <f>(CB116*$E116*$F116*$G116*$L116)</f>
        <v>0</v>
      </c>
      <c r="CD116" s="182"/>
      <c r="CE116" s="183">
        <f>(CD116*$E116*$F116*$G116*$L116)</f>
        <v>0</v>
      </c>
      <c r="CF116" s="182">
        <v>36</v>
      </c>
      <c r="CG116" s="182">
        <f>(CF116*$E116*$F116*$G116*$L116)</f>
        <v>1099423.5839999998</v>
      </c>
      <c r="CH116" s="182">
        <v>1</v>
      </c>
      <c r="CI116" s="182">
        <f>(CH116*$E116*$F116*$G116*$M116)</f>
        <v>36647.452799999999</v>
      </c>
      <c r="CJ116" s="182"/>
      <c r="CK116" s="182"/>
      <c r="CL116" s="182"/>
      <c r="CM116" s="182">
        <f>(CL116*$E116*$F116*$G116*$L116)</f>
        <v>0</v>
      </c>
      <c r="CN116" s="182"/>
      <c r="CO116" s="182">
        <f>(CN116*$E116*$F116*$G116*$L116)</f>
        <v>0</v>
      </c>
      <c r="CP116" s="182">
        <v>6</v>
      </c>
      <c r="CQ116" s="182">
        <f>(CP116*$E116*$F116*$G116*$L116)</f>
        <v>183237.264</v>
      </c>
      <c r="CR116" s="182">
        <v>20</v>
      </c>
      <c r="CS116" s="182">
        <f>(CR116*$E116*$F116*$G116*$L116)</f>
        <v>610790.88</v>
      </c>
      <c r="CT116" s="182"/>
      <c r="CU116" s="182">
        <f>(CT116*$E116*$F116*$G116*$L116)</f>
        <v>0</v>
      </c>
      <c r="CV116" s="182">
        <v>29</v>
      </c>
      <c r="CW116" s="182">
        <v>1074119.3199999996</v>
      </c>
      <c r="CX116" s="182">
        <v>10</v>
      </c>
      <c r="CY116" s="182">
        <f>(CX116*$E116*$F116*$G116*$M116)</f>
        <v>366474.52799999999</v>
      </c>
      <c r="CZ116" s="182"/>
      <c r="DA116" s="182">
        <v>0</v>
      </c>
      <c r="DB116" s="188"/>
      <c r="DC116" s="182">
        <f>(DB116*$E116*$F116*$G116*$M116)</f>
        <v>0</v>
      </c>
      <c r="DD116" s="182"/>
      <c r="DE116" s="187">
        <f>(DD116*$E116*$F116*$G116*$M116)</f>
        <v>0</v>
      </c>
      <c r="DF116" s="182"/>
      <c r="DG116" s="182"/>
      <c r="DH116" s="189"/>
      <c r="DI116" s="182">
        <f>(DH116*$E116*$F116*$G116*$M116)</f>
        <v>0</v>
      </c>
      <c r="DJ116" s="182">
        <v>7</v>
      </c>
      <c r="DK116" s="182">
        <f>(DJ116*$E116*$F116*$G116*$M116)</f>
        <v>256532.16959999999</v>
      </c>
      <c r="DL116" s="182"/>
      <c r="DM116" s="182">
        <f>(DL116*$E116*$F116*$G116*$N116)</f>
        <v>0</v>
      </c>
      <c r="DN116" s="182">
        <f>ROUND(1*0.75,0)</f>
        <v>1</v>
      </c>
      <c r="DO116" s="187">
        <f>(DN116*$E116*$F116*$G116*$O116)</f>
        <v>56061.877199999995</v>
      </c>
      <c r="DP116" s="187"/>
      <c r="DQ116" s="187"/>
      <c r="DR116" s="183">
        <f t="shared" ref="DR116:DS118" si="463">SUM(P116,R116,T116,V116,AB116,AJ116,AD116,AF116,AH116,AL116,AN116,AP116,AV116,AZ116,BB116,CF116,AR116,BF116,BH116,BJ116,CT116,BL116,BN116,AT116,BR116,AX116,CV116,BT116,CX116,BV116,BX116,BZ116,CH116,CB116,CD116,CJ116,CL116,CN116,CP116,CR116,CZ116,DB116,BP116,BD116,DD116,DF116,DH116,DJ116,DL116,DN116,DP116)</f>
        <v>764</v>
      </c>
      <c r="DS116" s="183">
        <f t="shared" si="463"/>
        <v>24444069.083999991</v>
      </c>
      <c r="DT116" s="182">
        <v>763</v>
      </c>
      <c r="DU116" s="182">
        <v>24407421.633999992</v>
      </c>
      <c r="DV116" s="167">
        <f t="shared" si="319"/>
        <v>1</v>
      </c>
      <c r="DW116" s="167">
        <f t="shared" si="319"/>
        <v>36647.449999999255</v>
      </c>
    </row>
    <row r="117" spans="1:127" ht="30" customHeight="1" x14ac:dyDescent="0.25">
      <c r="A117" s="154"/>
      <c r="B117" s="176">
        <v>88</v>
      </c>
      <c r="C117" s="177" t="s">
        <v>324</v>
      </c>
      <c r="D117" s="210" t="s">
        <v>325</v>
      </c>
      <c r="E117" s="158">
        <v>25969</v>
      </c>
      <c r="F117" s="179">
        <v>1.74</v>
      </c>
      <c r="G117" s="168">
        <v>1</v>
      </c>
      <c r="H117" s="169"/>
      <c r="I117" s="169"/>
      <c r="J117" s="169"/>
      <c r="K117" s="106"/>
      <c r="L117" s="180">
        <v>1.4</v>
      </c>
      <c r="M117" s="180">
        <v>1.68</v>
      </c>
      <c r="N117" s="180">
        <v>2.23</v>
      </c>
      <c r="O117" s="181">
        <v>2.57</v>
      </c>
      <c r="P117" s="182">
        <v>452</v>
      </c>
      <c r="Q117" s="182">
        <f>(P117*$E117*$F117*$G117*$L117*$Q$12)</f>
        <v>31453112.6448</v>
      </c>
      <c r="R117" s="182">
        <v>19</v>
      </c>
      <c r="S117" s="182">
        <f>(R117*$E117*$F117*$G117*$L117*$S$12)</f>
        <v>1322144.1156000001</v>
      </c>
      <c r="T117" s="182">
        <v>66</v>
      </c>
      <c r="U117" s="182">
        <f t="shared" ref="U117:U118" si="464">(T117/12*11*$E117*$F117*$G117*$L117*$U$12)+(T117/12*1*$E117*$F117*$G117*$L117*$U$14)</f>
        <v>5271179.8292999994</v>
      </c>
      <c r="V117" s="182">
        <v>3</v>
      </c>
      <c r="W117" s="183">
        <f>(V117*$E117*$F117*$G117*$L117*$W$12)/12*10+(V117*$E117*$F117*$G117*$L117*$W$13)/12*1+(V117*$E117*$F117*$G117*$L117*$W$14*$W$15)/12*1</f>
        <v>241355.95331164796</v>
      </c>
      <c r="X117" s="183">
        <v>2</v>
      </c>
      <c r="Y117" s="183">
        <v>177129.35519999996</v>
      </c>
      <c r="Z117" s="183">
        <v>6</v>
      </c>
      <c r="AA117" s="183">
        <v>637665.67871999997</v>
      </c>
      <c r="AB117" s="182">
        <f t="shared" ref="AB117:AC118" si="465">X117+Z117</f>
        <v>8</v>
      </c>
      <c r="AC117" s="182">
        <f t="shared" si="465"/>
        <v>814795.03391999996</v>
      </c>
      <c r="AD117" s="182"/>
      <c r="AE117" s="182">
        <f>(AD117*$E117*$F117*$G117*$L117*$AE$12)</f>
        <v>0</v>
      </c>
      <c r="AF117" s="182"/>
      <c r="AG117" s="182"/>
      <c r="AH117" s="182">
        <v>40</v>
      </c>
      <c r="AI117" s="182">
        <f>(AH117*$E117*$F117*$G117*$L117*$AI$12)</f>
        <v>2783461.2960000001</v>
      </c>
      <c r="AJ117" s="182"/>
      <c r="AK117" s="182"/>
      <c r="AL117" s="182"/>
      <c r="AM117" s="182"/>
      <c r="AN117" s="184"/>
      <c r="AO117" s="182">
        <f>(AN117*$E117*$F117*$G117*$L117*$AO$12)</f>
        <v>0</v>
      </c>
      <c r="AP117" s="182">
        <f>185+4</f>
        <v>189</v>
      </c>
      <c r="AQ117" s="183">
        <f>(AP117*$E117*$F117*$G117*$L117*$AQ$12)</f>
        <v>13151854.623600001</v>
      </c>
      <c r="AR117" s="182">
        <v>50</v>
      </c>
      <c r="AS117" s="182">
        <f t="shared" ref="AS117:AS118" si="466">(AR117*$E117*$F117*$G117*$L117*$AS$12)/12*10+(AR117*$E117*$F117*$G117*$L117*$AS$13)/12*1+(AR117*$E117*$F117*$L117*$G117*$AS$14*$AS$15)/12*1</f>
        <v>3756038.52043</v>
      </c>
      <c r="AT117" s="182">
        <v>80</v>
      </c>
      <c r="AU117" s="182">
        <f>(AT117*$E117*$F117*$G117*$M117*$AU$12)/12*10+(AT117*$E117*$F117*$G117*$M117*$AU$13)/12+(AT117*$E117*$F117*$G117*$M117*$AU$14*$AU$15)/12</f>
        <v>6998529.612610369</v>
      </c>
      <c r="AV117" s="188">
        <v>58</v>
      </c>
      <c r="AW117" s="182">
        <v>6164101.3800000045</v>
      </c>
      <c r="AX117" s="182">
        <v>4</v>
      </c>
      <c r="AY117" s="187">
        <f>(AX117*$E117*$F117*$G117*$M117*$AY$12)</f>
        <v>334015.35551999998</v>
      </c>
      <c r="AZ117" s="182"/>
      <c r="BA117" s="182">
        <f>(AZ117*$E117*$F117*$G117*$L117*$BA$12)</f>
        <v>0</v>
      </c>
      <c r="BB117" s="182"/>
      <c r="BC117" s="182">
        <f>(BB117*$E117*$F117*$G117*$L117*$BC$12)</f>
        <v>0</v>
      </c>
      <c r="BD117" s="182"/>
      <c r="BE117" s="182">
        <f>(BD117*$E117*$F117*$G117*$L117*$BE$12)</f>
        <v>0</v>
      </c>
      <c r="BF117" s="182"/>
      <c r="BG117" s="182">
        <f>(BF117*$E117*$F117*$G117*$L117*$BG$12)</f>
        <v>0</v>
      </c>
      <c r="BH117" s="182"/>
      <c r="BI117" s="183">
        <f>(BH117*$E117*$F117*$G117*$L117*$BI$12)</f>
        <v>0</v>
      </c>
      <c r="BJ117" s="182"/>
      <c r="BK117" s="183">
        <f>(BJ117*$E117*$F117*$G117*$L117*$BK$12)</f>
        <v>0</v>
      </c>
      <c r="BL117" s="182">
        <v>8</v>
      </c>
      <c r="BM117" s="182">
        <f t="shared" ref="BM117" si="467">(BL117/12*11*$E117*$F117*$G117*$L117*$BM$12)+(BL117/12*$E117*$F117*$G117*$L117*$BM$12*$BM$15)</f>
        <v>706431.34307961585</v>
      </c>
      <c r="BN117" s="182"/>
      <c r="BO117" s="182">
        <f>(BN117*$E117*$F117*$G117*$M117*$BO$12)</f>
        <v>0</v>
      </c>
      <c r="BP117" s="182"/>
      <c r="BQ117" s="182">
        <f>(BP117*$E117*$F117*$G117*$M117*$BQ$12)</f>
        <v>0</v>
      </c>
      <c r="BR117" s="182"/>
      <c r="BS117" s="183">
        <f>(BR117*$E117*$F117*$G117*$M117*$BS$12)</f>
        <v>0</v>
      </c>
      <c r="BT117" s="182">
        <v>12</v>
      </c>
      <c r="BU117" s="182">
        <f t="shared" ref="BU117:BU118" si="468">(BT117*$E117*$F117*$G117*$M117*$BU$12)/12*10+(BT117*$E117*$F117*$G117*$M117*$BU$13)/12+(BT117*$E117*$F117*$G117*$M117*$BU$13*$BU$15)/12</f>
        <v>1014800.5947356927</v>
      </c>
      <c r="BV117" s="182"/>
      <c r="BW117" s="182">
        <f>(BV117*$E117*$F117*$G117*$M117*$BW$12)</f>
        <v>0</v>
      </c>
      <c r="BX117" s="182">
        <v>2</v>
      </c>
      <c r="BY117" s="183">
        <f t="shared" ref="BY117" si="469">(BX117*$E117*$F117*$G117*$M117*$BY$12)/12*11+(BX117*$E117*$F117*$G117*$M117*$BY$12*$BY$15)/12</f>
        <v>204763.55894668799</v>
      </c>
      <c r="BZ117" s="182">
        <v>10</v>
      </c>
      <c r="CA117" s="187">
        <f t="shared" ref="CA117" si="470">(BZ117*$E117*$F117*$G117*$M117*$CA$12)/12*11+(BZ117*$E117*$F117*$G117*$M117*$CA$12*$CA$15)/12</f>
        <v>992120.49662039988</v>
      </c>
      <c r="CB117" s="182"/>
      <c r="CC117" s="182">
        <f>(CB117*$E117*$F117*$G117*$L117*$CC$12)</f>
        <v>0</v>
      </c>
      <c r="CD117" s="182"/>
      <c r="CE117" s="182">
        <f>(CD117*$E117*$F117*$G117*$L117*$CE$12)</f>
        <v>0</v>
      </c>
      <c r="CF117" s="182">
        <v>110</v>
      </c>
      <c r="CG117" s="182">
        <f>(CF117*$E117*$F117*$G117*$L117*$CG$12)</f>
        <v>6958653.2399999993</v>
      </c>
      <c r="CH117" s="182">
        <v>10</v>
      </c>
      <c r="CI117" s="182">
        <f t="shared" ref="CI117" si="471">(CH117*$E117*$F117*$G117*$M117*$CI$12)/12*11+(CH117*$E117*$F117*$G117*$M117*$CI$12*$CI$15)/12</f>
        <v>845996.36983848002</v>
      </c>
      <c r="CJ117" s="182"/>
      <c r="CK117" s="182"/>
      <c r="CL117" s="182"/>
      <c r="CM117" s="183">
        <f>(CL117*$E117*$F117*$G117*$L117*$CM$12)</f>
        <v>0</v>
      </c>
      <c r="CN117" s="182">
        <v>20</v>
      </c>
      <c r="CO117" s="183">
        <f>(CN117*$E117*$F117*$G117*$L117*$CO$12)</f>
        <v>1012167.7439999999</v>
      </c>
      <c r="CP117" s="182">
        <v>12</v>
      </c>
      <c r="CQ117" s="182">
        <f>(CP117*$E117*$F117*$G117*$L117*$CQ$12)/12*11+(CP117*$E117*$F117*$G117*$L117*$CQ$12*$CQ$15)/12</f>
        <v>841354.31552256003</v>
      </c>
      <c r="CR117" s="182">
        <v>8</v>
      </c>
      <c r="CS117" s="182">
        <f t="shared" ref="CS117" si="472">(CR117*$E117*$F117*$G117*$L117*$CS$12)/12*10+(CR117*$E117*$F117*$G117*$L117*$CS$13)/12+(CR117*$E117*$F117*$G117*$L117*$CS$13*$CS$15)/12</f>
        <v>606727.92815151985</v>
      </c>
      <c r="CT117" s="182">
        <v>2</v>
      </c>
      <c r="CU117" s="182">
        <f t="shared" ref="CU117" si="473">(CT117*$E117*$F117*$G117*$L117*$CU$12)/12*11+(CT117*$E117*$F117*$G117*$L117*$CU$12*$CU$15)/12</f>
        <v>132820.44699671998</v>
      </c>
      <c r="CV117" s="182">
        <v>26</v>
      </c>
      <c r="CW117" s="182">
        <v>1989651.2500000002</v>
      </c>
      <c r="CX117" s="182">
        <v>1</v>
      </c>
      <c r="CY117" s="182">
        <f>(CX117/12*11*$E117*$F117*$G117*$M117*$CY$12)+(CX117/12*$E117*$F117*$G117*$M117*$CY$15*$CY$12)</f>
        <v>81924.098073551984</v>
      </c>
      <c r="CZ117" s="182"/>
      <c r="DA117" s="182">
        <v>0</v>
      </c>
      <c r="DB117" s="188"/>
      <c r="DC117" s="182">
        <f>(DB117*$E117*$F117*$G117*$M117*$DC$12)</f>
        <v>0</v>
      </c>
      <c r="DD117" s="182"/>
      <c r="DE117" s="187">
        <f t="shared" ref="DE117:DE118" si="474">(DD117*$E117*$F117*$G117*$M117*DE$12)</f>
        <v>0</v>
      </c>
      <c r="DF117" s="182"/>
      <c r="DG117" s="182">
        <f>(DF117*$E117*$F117*$G117*$M117*$DG$12)</f>
        <v>0</v>
      </c>
      <c r="DH117" s="189"/>
      <c r="DI117" s="182">
        <f>(DH117*$E117*$F117*$G117*$M117*$DI$12)</f>
        <v>0</v>
      </c>
      <c r="DJ117" s="182">
        <v>3</v>
      </c>
      <c r="DK117" s="182">
        <f>(DJ117/12*11*$E117*$F117*$G117*$M117*$DK$12)+(DJ117/12*1*$E117*$F117*$M117*$G117*$DK$12*$DK$15)</f>
        <v>248163.92007875998</v>
      </c>
      <c r="DL117" s="182"/>
      <c r="DM117" s="182">
        <f>(DL117*$E117*$F117*$G117*$N117*$DM$12)</f>
        <v>0</v>
      </c>
      <c r="DN117" s="182">
        <f>ROUND(1*0.75,0)</f>
        <v>1</v>
      </c>
      <c r="DO117" s="190">
        <f>(DN117*$E117*$F117*$G117*$O117*$DO$12)</f>
        <v>116128.17419999999</v>
      </c>
      <c r="DP117" s="187"/>
      <c r="DQ117" s="187"/>
      <c r="DR117" s="183">
        <f t="shared" si="463"/>
        <v>1194</v>
      </c>
      <c r="DS117" s="183">
        <f t="shared" si="463"/>
        <v>88042291.84533599</v>
      </c>
      <c r="DT117" s="182">
        <v>1200</v>
      </c>
      <c r="DU117" s="182">
        <v>87759842.155359983</v>
      </c>
      <c r="DV117" s="167">
        <f t="shared" si="319"/>
        <v>-6</v>
      </c>
      <c r="DW117" s="167">
        <f t="shared" si="319"/>
        <v>282449.68997600675</v>
      </c>
    </row>
    <row r="118" spans="1:127" ht="30" customHeight="1" x14ac:dyDescent="0.25">
      <c r="A118" s="154"/>
      <c r="B118" s="176">
        <v>89</v>
      </c>
      <c r="C118" s="177" t="s">
        <v>326</v>
      </c>
      <c r="D118" s="210" t="s">
        <v>327</v>
      </c>
      <c r="E118" s="158">
        <v>25969</v>
      </c>
      <c r="F118" s="179">
        <v>2.4900000000000002</v>
      </c>
      <c r="G118" s="168">
        <v>1</v>
      </c>
      <c r="H118" s="169"/>
      <c r="I118" s="169"/>
      <c r="J118" s="169"/>
      <c r="K118" s="106"/>
      <c r="L118" s="180">
        <v>1.4</v>
      </c>
      <c r="M118" s="180">
        <v>1.68</v>
      </c>
      <c r="N118" s="180">
        <v>2.23</v>
      </c>
      <c r="O118" s="181">
        <v>2.57</v>
      </c>
      <c r="P118" s="182">
        <v>1</v>
      </c>
      <c r="Q118" s="182">
        <f>(P118*$E118*$F118*$G118*$L118*$Q$12)</f>
        <v>99580.727400000018</v>
      </c>
      <c r="R118" s="182"/>
      <c r="S118" s="182">
        <f>(R118*$E118*$F118*$G118*$L118*$S$12)</f>
        <v>0</v>
      </c>
      <c r="T118" s="182">
        <v>5</v>
      </c>
      <c r="U118" s="182">
        <f t="shared" si="464"/>
        <v>571457.58337500005</v>
      </c>
      <c r="V118" s="182"/>
      <c r="W118" s="183">
        <f t="shared" ref="W118" si="475">(V118*$E118*$F118*$G118*$L118*$W$12)/12*10+(V118*$E118*$F118*$G118*$L118*$W$13)/12*1++(V118*$E118*$F118*$G118*$L118*$W$14)/12*1</f>
        <v>0</v>
      </c>
      <c r="X118" s="183">
        <v>2</v>
      </c>
      <c r="Y118" s="183">
        <v>253478.21520000001</v>
      </c>
      <c r="Z118" s="183">
        <v>0</v>
      </c>
      <c r="AA118" s="183">
        <v>0</v>
      </c>
      <c r="AB118" s="182">
        <f t="shared" si="465"/>
        <v>2</v>
      </c>
      <c r="AC118" s="182">
        <f t="shared" si="465"/>
        <v>253478.21520000001</v>
      </c>
      <c r="AD118" s="182"/>
      <c r="AE118" s="182">
        <f>(AD118*$E118*$F118*$G118*$L118*$AE$12)</f>
        <v>0</v>
      </c>
      <c r="AF118" s="182"/>
      <c r="AG118" s="182"/>
      <c r="AH118" s="182">
        <v>3</v>
      </c>
      <c r="AI118" s="182">
        <f>(AH118*$E118*$F118*$G118*$L118*$AI$12)</f>
        <v>298742.18220000004</v>
      </c>
      <c r="AJ118" s="182"/>
      <c r="AK118" s="182"/>
      <c r="AL118" s="182"/>
      <c r="AM118" s="182"/>
      <c r="AN118" s="184"/>
      <c r="AO118" s="182">
        <f>(AN118*$E118*$F118*$G118*$L118*$AO$12)</f>
        <v>0</v>
      </c>
      <c r="AP118" s="182">
        <v>10</v>
      </c>
      <c r="AQ118" s="183">
        <f>(AP118*$E118*$F118*$G118*$L118*$AQ$12)</f>
        <v>995807.27400000021</v>
      </c>
      <c r="AR118" s="182">
        <v>1</v>
      </c>
      <c r="AS118" s="182">
        <f t="shared" si="466"/>
        <v>107500.41282610002</v>
      </c>
      <c r="AT118" s="182"/>
      <c r="AU118" s="182">
        <f>(AT118*$E118*$F118*$G118*$M118*$AU$12)</f>
        <v>0</v>
      </c>
      <c r="AV118" s="188">
        <v>9</v>
      </c>
      <c r="AW118" s="182">
        <v>1353573.6799999997</v>
      </c>
      <c r="AX118" s="182"/>
      <c r="AY118" s="187">
        <f>(AX118*$E118*$F118*$G118*$M118*$AY$12)</f>
        <v>0</v>
      </c>
      <c r="AZ118" s="182"/>
      <c r="BA118" s="182">
        <f>(AZ118*$E118*$F118*$G118*$L118*$BA$12)</f>
        <v>0</v>
      </c>
      <c r="BB118" s="182">
        <v>0</v>
      </c>
      <c r="BC118" s="182">
        <f>(BB118*$E118*$F118*$G118*$L118*$BC$12)</f>
        <v>0</v>
      </c>
      <c r="BD118" s="182"/>
      <c r="BE118" s="182">
        <f>(BD118*$E118*$F118*$G118*$L118*$BE$12)</f>
        <v>0</v>
      </c>
      <c r="BF118" s="182"/>
      <c r="BG118" s="182">
        <f>(BF118*$E118*$F118*$G118*$L118*$BG$12)</f>
        <v>0</v>
      </c>
      <c r="BH118" s="182"/>
      <c r="BI118" s="183">
        <f>(BH118*$E118*$F118*$G118*$L118*$BI$12)</f>
        <v>0</v>
      </c>
      <c r="BJ118" s="182"/>
      <c r="BK118" s="183">
        <f>(BJ118*$E118*$F118*$G118*$L118*$BK$12)</f>
        <v>0</v>
      </c>
      <c r="BL118" s="182"/>
      <c r="BM118" s="182">
        <f>(BL118*$E118*$F118*$G118*$L118*$BM$12)</f>
        <v>0</v>
      </c>
      <c r="BN118" s="182"/>
      <c r="BO118" s="182">
        <f>(BN118*$E118*$F118*$G118*$M118*$BO$12)</f>
        <v>0</v>
      </c>
      <c r="BP118" s="182"/>
      <c r="BQ118" s="182">
        <f>(BP118*$E118*$F118*$G118*$M118*$BQ$12)</f>
        <v>0</v>
      </c>
      <c r="BR118" s="182"/>
      <c r="BS118" s="183">
        <f>(BR118*$E118*$F118*$G118*$M118*$BS$12)</f>
        <v>0</v>
      </c>
      <c r="BT118" s="182">
        <v>2</v>
      </c>
      <c r="BU118" s="182">
        <f t="shared" si="468"/>
        <v>242035.77403178881</v>
      </c>
      <c r="BV118" s="182"/>
      <c r="BW118" s="182">
        <f>(BV118*$E118*$F118*$G118*$M118*$BW$12)</f>
        <v>0</v>
      </c>
      <c r="BX118" s="182"/>
      <c r="BY118" s="183">
        <f>(BX118*$E118*$F118*$G118*$M118*$BY$12)</f>
        <v>0</v>
      </c>
      <c r="BZ118" s="182"/>
      <c r="CA118" s="187">
        <f>(BZ118*$E118*$F118*$G118*$M118*$CA$12)</f>
        <v>0</v>
      </c>
      <c r="CB118" s="182"/>
      <c r="CC118" s="182">
        <f>(CB118*$E118*$F118*$G118*$L118*$CC$12)</f>
        <v>0</v>
      </c>
      <c r="CD118" s="182"/>
      <c r="CE118" s="182">
        <f>(CD118*$E118*$F118*$G118*$L118*$CE$12)</f>
        <v>0</v>
      </c>
      <c r="CF118" s="182"/>
      <c r="CG118" s="182">
        <f>(CF118*$E118*$F118*$G118*$L118*$CG$12)</f>
        <v>0</v>
      </c>
      <c r="CH118" s="182"/>
      <c r="CI118" s="182">
        <f>(CH118*$E118*$F118*$G118*$M118*$CI$12)</f>
        <v>0</v>
      </c>
      <c r="CJ118" s="182"/>
      <c r="CK118" s="182"/>
      <c r="CL118" s="182"/>
      <c r="CM118" s="183">
        <f>(CL118*$E118*$F118*$G118*$L118*$CM$12)</f>
        <v>0</v>
      </c>
      <c r="CN118" s="182"/>
      <c r="CO118" s="183">
        <f>(CN118*$E118*$F118*$G118*$L118*$CO$12)</f>
        <v>0</v>
      </c>
      <c r="CP118" s="182"/>
      <c r="CQ118" s="182">
        <f>(CP118*$E118*$F118*$G118*$L118*$CQ$12)</f>
        <v>0</v>
      </c>
      <c r="CR118" s="182"/>
      <c r="CS118" s="182">
        <f>(CR118*$E118*$F118*$G118*$L118*$CS$12)</f>
        <v>0</v>
      </c>
      <c r="CT118" s="182"/>
      <c r="CU118" s="182">
        <f>(CT118*$E118*$F118*$G118*$L118*$CU$12)</f>
        <v>0</v>
      </c>
      <c r="CV118" s="182"/>
      <c r="CW118" s="182">
        <v>0</v>
      </c>
      <c r="CX118" s="182"/>
      <c r="CY118" s="182">
        <f>(CX118*$E118*$F118*$G118*$M118*$CY$12)</f>
        <v>0</v>
      </c>
      <c r="CZ118" s="182"/>
      <c r="DA118" s="182">
        <v>0</v>
      </c>
      <c r="DB118" s="188"/>
      <c r="DC118" s="182">
        <f>(DB118*$E118*$F118*$G118*$M118*$DC$12)</f>
        <v>0</v>
      </c>
      <c r="DD118" s="182"/>
      <c r="DE118" s="187">
        <f t="shared" si="474"/>
        <v>0</v>
      </c>
      <c r="DF118" s="182"/>
      <c r="DG118" s="182">
        <f>(DF118*$E118*$F118*$G118*$M118*$DG$12)</f>
        <v>0</v>
      </c>
      <c r="DH118" s="189"/>
      <c r="DI118" s="182">
        <f>(DH118*$E118*$F118*$G118*$M118*$DI$12)</f>
        <v>0</v>
      </c>
      <c r="DJ118" s="182"/>
      <c r="DK118" s="182">
        <f>(DJ118*$E118*$F118*$G118*$M118*$DK$12)</f>
        <v>0</v>
      </c>
      <c r="DL118" s="182"/>
      <c r="DM118" s="182">
        <f>(DL118*$E118*$F118*$G118*$N118*$DM$12)</f>
        <v>0</v>
      </c>
      <c r="DN118" s="182"/>
      <c r="DO118" s="190">
        <f>(DN118*$E118*$F118*$G118*$O118*$DO$12)</f>
        <v>0</v>
      </c>
      <c r="DP118" s="187"/>
      <c r="DQ118" s="187"/>
      <c r="DR118" s="183">
        <f t="shared" si="463"/>
        <v>33</v>
      </c>
      <c r="DS118" s="183">
        <f t="shared" si="463"/>
        <v>3922175.8490328882</v>
      </c>
      <c r="DT118" s="182">
        <v>28</v>
      </c>
      <c r="DU118" s="182">
        <v>3149617.7037500003</v>
      </c>
      <c r="DV118" s="167">
        <f t="shared" si="319"/>
        <v>5</v>
      </c>
      <c r="DW118" s="167">
        <f t="shared" si="319"/>
        <v>772558.14528288785</v>
      </c>
    </row>
    <row r="119" spans="1:127" ht="15.75" customHeight="1" x14ac:dyDescent="0.25">
      <c r="A119" s="170">
        <v>15</v>
      </c>
      <c r="B119" s="197"/>
      <c r="C119" s="198"/>
      <c r="D119" s="211" t="s">
        <v>328</v>
      </c>
      <c r="E119" s="158">
        <v>25969</v>
      </c>
      <c r="F119" s="199">
        <v>1.1200000000000001</v>
      </c>
      <c r="G119" s="171"/>
      <c r="H119" s="169"/>
      <c r="I119" s="169"/>
      <c r="J119" s="169"/>
      <c r="K119" s="173"/>
      <c r="L119" s="174">
        <v>1.4</v>
      </c>
      <c r="M119" s="174">
        <v>1.68</v>
      </c>
      <c r="N119" s="174">
        <v>2.23</v>
      </c>
      <c r="O119" s="175">
        <v>2.57</v>
      </c>
      <c r="P119" s="166">
        <f t="shared" ref="P119:AD119" si="476">SUM(P120:P138)</f>
        <v>1017</v>
      </c>
      <c r="Q119" s="166">
        <f t="shared" si="476"/>
        <v>80000480.547399998</v>
      </c>
      <c r="R119" s="166">
        <f t="shared" si="476"/>
        <v>3930</v>
      </c>
      <c r="S119" s="166">
        <f t="shared" si="476"/>
        <v>313336121.36260003</v>
      </c>
      <c r="T119" s="166">
        <f t="shared" si="476"/>
        <v>779</v>
      </c>
      <c r="U119" s="166">
        <f t="shared" si="476"/>
        <v>40303265.263379991</v>
      </c>
      <c r="V119" s="166">
        <f t="shared" si="476"/>
        <v>0</v>
      </c>
      <c r="W119" s="166">
        <f t="shared" si="476"/>
        <v>0</v>
      </c>
      <c r="X119" s="166">
        <v>0</v>
      </c>
      <c r="Y119" s="166">
        <v>0</v>
      </c>
      <c r="Z119" s="166">
        <v>0</v>
      </c>
      <c r="AA119" s="166">
        <v>0</v>
      </c>
      <c r="AB119" s="166">
        <f t="shared" si="476"/>
        <v>0</v>
      </c>
      <c r="AC119" s="166">
        <f t="shared" si="476"/>
        <v>0</v>
      </c>
      <c r="AD119" s="166">
        <f t="shared" si="476"/>
        <v>0</v>
      </c>
      <c r="AE119" s="166">
        <f t="shared" ref="AE119:CP119" si="477">SUM(AE120:AE138)</f>
        <v>0</v>
      </c>
      <c r="AF119" s="166">
        <f t="shared" si="477"/>
        <v>0</v>
      </c>
      <c r="AG119" s="166">
        <f t="shared" si="477"/>
        <v>0</v>
      </c>
      <c r="AH119" s="166">
        <f t="shared" si="477"/>
        <v>548</v>
      </c>
      <c r="AI119" s="166">
        <f t="shared" si="477"/>
        <v>21347308.496359996</v>
      </c>
      <c r="AJ119" s="166">
        <f>SUM(AJ120:AJ138)</f>
        <v>0</v>
      </c>
      <c r="AK119" s="166">
        <f>SUM(AK120:AK138)</f>
        <v>0</v>
      </c>
      <c r="AL119" s="166">
        <f t="shared" si="477"/>
        <v>0</v>
      </c>
      <c r="AM119" s="166">
        <f t="shared" si="477"/>
        <v>0</v>
      </c>
      <c r="AN119" s="166">
        <f t="shared" si="477"/>
        <v>0</v>
      </c>
      <c r="AO119" s="166">
        <f t="shared" si="477"/>
        <v>0</v>
      </c>
      <c r="AP119" s="166">
        <f t="shared" si="477"/>
        <v>222</v>
      </c>
      <c r="AQ119" s="166">
        <f t="shared" si="477"/>
        <v>8022665.4955999991</v>
      </c>
      <c r="AR119" s="166">
        <f t="shared" si="477"/>
        <v>67</v>
      </c>
      <c r="AS119" s="166">
        <f t="shared" si="477"/>
        <v>3231920.0418320661</v>
      </c>
      <c r="AT119" s="166">
        <f t="shared" si="477"/>
        <v>1582</v>
      </c>
      <c r="AU119" s="166">
        <f t="shared" si="477"/>
        <v>175101467.97703734</v>
      </c>
      <c r="AV119" s="166">
        <f t="shared" si="477"/>
        <v>0</v>
      </c>
      <c r="AW119" s="166">
        <f t="shared" si="477"/>
        <v>0</v>
      </c>
      <c r="AX119" s="166">
        <f t="shared" si="477"/>
        <v>180</v>
      </c>
      <c r="AY119" s="166">
        <f t="shared" si="477"/>
        <v>8177660.9527199995</v>
      </c>
      <c r="AZ119" s="166">
        <f t="shared" si="477"/>
        <v>0</v>
      </c>
      <c r="BA119" s="166">
        <f t="shared" si="477"/>
        <v>0</v>
      </c>
      <c r="BB119" s="166">
        <f t="shared" si="477"/>
        <v>0</v>
      </c>
      <c r="BC119" s="166">
        <f t="shared" si="477"/>
        <v>0</v>
      </c>
      <c r="BD119" s="166">
        <f t="shared" si="477"/>
        <v>0</v>
      </c>
      <c r="BE119" s="166">
        <f t="shared" si="477"/>
        <v>0</v>
      </c>
      <c r="BF119" s="166">
        <f t="shared" si="477"/>
        <v>0</v>
      </c>
      <c r="BG119" s="166">
        <f t="shared" si="477"/>
        <v>0</v>
      </c>
      <c r="BH119" s="166">
        <f t="shared" si="477"/>
        <v>0</v>
      </c>
      <c r="BI119" s="166">
        <f t="shared" si="477"/>
        <v>0</v>
      </c>
      <c r="BJ119" s="166">
        <f t="shared" si="477"/>
        <v>0</v>
      </c>
      <c r="BK119" s="166">
        <f t="shared" si="477"/>
        <v>0</v>
      </c>
      <c r="BL119" s="166">
        <f t="shared" si="477"/>
        <v>87</v>
      </c>
      <c r="BM119" s="166">
        <f t="shared" si="477"/>
        <v>3731928.3495600675</v>
      </c>
      <c r="BN119" s="166">
        <f t="shared" si="477"/>
        <v>1620</v>
      </c>
      <c r="BO119" s="166">
        <f t="shared" si="477"/>
        <v>105958466.15961601</v>
      </c>
      <c r="BP119" s="166">
        <f t="shared" si="477"/>
        <v>265</v>
      </c>
      <c r="BQ119" s="166">
        <f t="shared" si="477"/>
        <v>9693576.6440816224</v>
      </c>
      <c r="BR119" s="166">
        <f t="shared" si="477"/>
        <v>0</v>
      </c>
      <c r="BS119" s="166">
        <f t="shared" si="477"/>
        <v>0</v>
      </c>
      <c r="BT119" s="166">
        <f t="shared" si="477"/>
        <v>128</v>
      </c>
      <c r="BU119" s="166">
        <f t="shared" si="477"/>
        <v>5479366.7414087392</v>
      </c>
      <c r="BV119" s="166">
        <f t="shared" si="477"/>
        <v>757</v>
      </c>
      <c r="BW119" s="166">
        <f t="shared" si="477"/>
        <v>25671933.337680001</v>
      </c>
      <c r="BX119" s="166">
        <f t="shared" si="477"/>
        <v>287</v>
      </c>
      <c r="BY119" s="166">
        <f t="shared" si="477"/>
        <v>21896266.741108704</v>
      </c>
      <c r="BZ119" s="166">
        <f t="shared" si="477"/>
        <v>598</v>
      </c>
      <c r="CA119" s="166">
        <f t="shared" si="477"/>
        <v>35802960.426354662</v>
      </c>
      <c r="CB119" s="166">
        <f t="shared" si="477"/>
        <v>0</v>
      </c>
      <c r="CC119" s="166">
        <f t="shared" si="477"/>
        <v>0</v>
      </c>
      <c r="CD119" s="166">
        <f t="shared" si="477"/>
        <v>25</v>
      </c>
      <c r="CE119" s="166">
        <f t="shared" si="477"/>
        <v>672597.1</v>
      </c>
      <c r="CF119" s="166">
        <f t="shared" si="477"/>
        <v>0</v>
      </c>
      <c r="CG119" s="166">
        <f t="shared" si="477"/>
        <v>0</v>
      </c>
      <c r="CH119" s="166">
        <f t="shared" si="477"/>
        <v>507</v>
      </c>
      <c r="CI119" s="166">
        <f t="shared" si="477"/>
        <v>21414415.871188011</v>
      </c>
      <c r="CJ119" s="166">
        <f t="shared" si="477"/>
        <v>0</v>
      </c>
      <c r="CK119" s="166">
        <f t="shared" si="477"/>
        <v>0</v>
      </c>
      <c r="CL119" s="166">
        <f t="shared" si="477"/>
        <v>0</v>
      </c>
      <c r="CM119" s="166">
        <f t="shared" si="477"/>
        <v>0</v>
      </c>
      <c r="CN119" s="166">
        <f t="shared" si="477"/>
        <v>900</v>
      </c>
      <c r="CO119" s="166">
        <f t="shared" si="477"/>
        <v>21464936.640000001</v>
      </c>
      <c r="CP119" s="166">
        <f t="shared" si="477"/>
        <v>416</v>
      </c>
      <c r="CQ119" s="166">
        <f t="shared" ref="CQ119:DQ119" si="478">SUM(CQ120:CQ138)</f>
        <v>14899470.640271617</v>
      </c>
      <c r="CR119" s="166">
        <f t="shared" si="478"/>
        <v>854</v>
      </c>
      <c r="CS119" s="166">
        <f t="shared" si="478"/>
        <v>49999851.869648494</v>
      </c>
      <c r="CT119" s="166">
        <f t="shared" si="478"/>
        <v>275</v>
      </c>
      <c r="CU119" s="166">
        <f t="shared" si="478"/>
        <v>10122053.479949458</v>
      </c>
      <c r="CV119" s="166">
        <f t="shared" si="478"/>
        <v>504</v>
      </c>
      <c r="CW119" s="166">
        <v>25256082.510000013</v>
      </c>
      <c r="CX119" s="166">
        <f t="shared" si="478"/>
        <v>138</v>
      </c>
      <c r="CY119" s="166">
        <f t="shared" si="478"/>
        <v>5561422.1060045762</v>
      </c>
      <c r="CZ119" s="166">
        <f t="shared" si="478"/>
        <v>355</v>
      </c>
      <c r="DA119" s="166">
        <v>13748465.709999986</v>
      </c>
      <c r="DB119" s="166">
        <f t="shared" si="478"/>
        <v>0</v>
      </c>
      <c r="DC119" s="166">
        <f t="shared" si="478"/>
        <v>0</v>
      </c>
      <c r="DD119" s="166">
        <f t="shared" si="478"/>
        <v>0</v>
      </c>
      <c r="DE119" s="166">
        <f t="shared" si="478"/>
        <v>0</v>
      </c>
      <c r="DF119" s="166">
        <f t="shared" si="478"/>
        <v>124</v>
      </c>
      <c r="DG119" s="166">
        <f t="shared" si="478"/>
        <v>12968835.499199998</v>
      </c>
      <c r="DH119" s="166">
        <f t="shared" si="478"/>
        <v>0</v>
      </c>
      <c r="DI119" s="166">
        <f t="shared" si="478"/>
        <v>0</v>
      </c>
      <c r="DJ119" s="166">
        <f t="shared" si="478"/>
        <v>366</v>
      </c>
      <c r="DK119" s="166">
        <f t="shared" si="478"/>
        <v>16782580.270945661</v>
      </c>
      <c r="DL119" s="166">
        <f t="shared" si="478"/>
        <v>20</v>
      </c>
      <c r="DM119" s="166">
        <f t="shared" si="478"/>
        <v>979736.09866000002</v>
      </c>
      <c r="DN119" s="166">
        <f t="shared" si="478"/>
        <v>65</v>
      </c>
      <c r="DO119" s="166">
        <f t="shared" si="478"/>
        <v>3591297.1572999996</v>
      </c>
      <c r="DP119" s="166">
        <f t="shared" si="478"/>
        <v>0</v>
      </c>
      <c r="DQ119" s="166">
        <f t="shared" si="478"/>
        <v>0</v>
      </c>
      <c r="DR119" s="166">
        <f>SUM(DR120:DR138)</f>
        <v>16616</v>
      </c>
      <c r="DS119" s="166">
        <f t="shared" ref="DS119" si="479">SUM(DS120:DS138)</f>
        <v>1055217133.4899069</v>
      </c>
      <c r="DT119" s="166">
        <v>16420</v>
      </c>
      <c r="DU119" s="166">
        <v>1043273950.6457492</v>
      </c>
      <c r="DV119" s="167">
        <f t="shared" si="319"/>
        <v>196</v>
      </c>
      <c r="DW119" s="167">
        <f t="shared" si="319"/>
        <v>11943182.844157696</v>
      </c>
    </row>
    <row r="120" spans="1:127" ht="27.75" customHeight="1" x14ac:dyDescent="0.25">
      <c r="A120" s="154"/>
      <c r="B120" s="176">
        <v>90</v>
      </c>
      <c r="C120" s="177" t="s">
        <v>329</v>
      </c>
      <c r="D120" s="210" t="s">
        <v>330</v>
      </c>
      <c r="E120" s="158">
        <v>25969</v>
      </c>
      <c r="F120" s="179">
        <v>0.98</v>
      </c>
      <c r="G120" s="168">
        <v>1</v>
      </c>
      <c r="H120" s="169"/>
      <c r="I120" s="169"/>
      <c r="J120" s="169"/>
      <c r="K120" s="106"/>
      <c r="L120" s="180">
        <v>1.4</v>
      </c>
      <c r="M120" s="180">
        <v>1.68</v>
      </c>
      <c r="N120" s="180">
        <v>2.23</v>
      </c>
      <c r="O120" s="181">
        <v>2.57</v>
      </c>
      <c r="P120" s="182">
        <v>7</v>
      </c>
      <c r="Q120" s="182">
        <f>(P120*$E120*$F120*$G120*$L120*$Q$12)</f>
        <v>274346.90360000002</v>
      </c>
      <c r="R120" s="182">
        <v>28</v>
      </c>
      <c r="S120" s="182">
        <f>(R120*$E120*$F120*$G120*$L120*$S$12)</f>
        <v>1097387.6144000001</v>
      </c>
      <c r="T120" s="182"/>
      <c r="U120" s="182">
        <f t="shared" ref="U120:U123" si="480">(T120/12*11*$E120*$F120*$G120*$L120*$U$12)+(T120/12*1*$E120*$F120*$G120*$L120*$U$14)</f>
        <v>0</v>
      </c>
      <c r="V120" s="182"/>
      <c r="W120" s="183">
        <f t="shared" ref="W120:W123" si="481">(V120*$E120*$F120*$G120*$L120*$W$12)/12*10+(V120*$E120*$F120*$G120*$L120*$W$13)/12*1++(V120*$E120*$F120*$G120*$L120*$W$14)/12*1</f>
        <v>0</v>
      </c>
      <c r="X120" s="183"/>
      <c r="Y120" s="183">
        <v>0</v>
      </c>
      <c r="Z120" s="183"/>
      <c r="AA120" s="183">
        <v>0</v>
      </c>
      <c r="AB120" s="182">
        <f t="shared" ref="AB120:AC123" si="482">X120+Z120</f>
        <v>0</v>
      </c>
      <c r="AC120" s="182">
        <f t="shared" si="482"/>
        <v>0</v>
      </c>
      <c r="AD120" s="182"/>
      <c r="AE120" s="182">
        <f>(AD120*$E120*$F120*$G120*$L120*$AE$12)</f>
        <v>0</v>
      </c>
      <c r="AF120" s="182"/>
      <c r="AG120" s="182"/>
      <c r="AH120" s="182">
        <v>5</v>
      </c>
      <c r="AI120" s="182">
        <f>(AH120*$E120*$F120*$G120*$L120*$AI$12)</f>
        <v>195962.07399999999</v>
      </c>
      <c r="AJ120" s="182"/>
      <c r="AK120" s="182"/>
      <c r="AL120" s="182"/>
      <c r="AM120" s="182"/>
      <c r="AN120" s="184"/>
      <c r="AO120" s="182">
        <f>(AN120*$E120*$F120*$G120*$L120*$AO$12)</f>
        <v>0</v>
      </c>
      <c r="AP120" s="182">
        <v>2</v>
      </c>
      <c r="AQ120" s="183">
        <f>(AP120*$E120*$F120*$G120*$L120*$AQ$12)</f>
        <v>78384.829599999997</v>
      </c>
      <c r="AR120" s="182"/>
      <c r="AS120" s="182">
        <f t="shared" ref="AS120:AS123" si="483">(AR120*$E120*$F120*$G120*$L120*$AS$12)/12*10+(AR120*$E120*$F120*$G120*$L120*$AS$13)/12*1+(AR120*$E120*$F120*$G120*$L120*$AS$14)/12*1</f>
        <v>0</v>
      </c>
      <c r="AT120" s="182">
        <f>27-4</f>
        <v>23</v>
      </c>
      <c r="AU120" s="182">
        <f t="shared" ref="AU120:AU123" si="484">(AT120*$E120*$F120*$G120*$M120*$AU$12)/12*10+(AT120*$E120*$F120*$G120*$M120*$AU$13)/12+(AT120*$E120*$F120*$G120*$M120*$AU$14*$AU$15)/12</f>
        <v>1133238.9185936616</v>
      </c>
      <c r="AV120" s="188"/>
      <c r="AW120" s="182">
        <f>(AV120*$E120*$F120*$G120*$M120*$AW$12)</f>
        <v>0</v>
      </c>
      <c r="AX120" s="182">
        <v>1</v>
      </c>
      <c r="AY120" s="187">
        <f>(AX120*$E120*$F120*$G120*$M120*$AY$12)</f>
        <v>47030.89776</v>
      </c>
      <c r="AZ120" s="182"/>
      <c r="BA120" s="182">
        <f>(AZ120*$E120*$F120*$G120*$L120*$BA$12)</f>
        <v>0</v>
      </c>
      <c r="BB120" s="182">
        <v>0</v>
      </c>
      <c r="BC120" s="182">
        <f>(BB120*$E120*$F120*$G120*$L120*$BC$12)</f>
        <v>0</v>
      </c>
      <c r="BD120" s="182"/>
      <c r="BE120" s="182">
        <f>(BD120*$E120*$F120*$G120*$L120*$BE$12)</f>
        <v>0</v>
      </c>
      <c r="BF120" s="182"/>
      <c r="BG120" s="182">
        <f>(BF120*$E120*$F120*$G120*$L120*$BG$12)</f>
        <v>0</v>
      </c>
      <c r="BH120" s="182"/>
      <c r="BI120" s="183">
        <f>(BH120*$E120*$F120*$G120*$L120*$BI$12)</f>
        <v>0</v>
      </c>
      <c r="BJ120" s="182"/>
      <c r="BK120" s="183">
        <f>(BJ120*$E120*$F120*$G120*$L120*$BK$12)</f>
        <v>0</v>
      </c>
      <c r="BL120" s="182"/>
      <c r="BM120" s="182">
        <f>(BL120*$E120*$F120*$G120*$L120*$BM$12)</f>
        <v>0</v>
      </c>
      <c r="BN120" s="182">
        <v>8</v>
      </c>
      <c r="BO120" s="182">
        <f>(BN120*$E120*$F120*$G120*$M120*$BO$12)</f>
        <v>376247.18208</v>
      </c>
      <c r="BP120" s="182"/>
      <c r="BQ120" s="182">
        <f>(BP120*$E120*$F120*$G120*$M120*$BQ$12)</f>
        <v>0</v>
      </c>
      <c r="BR120" s="182"/>
      <c r="BS120" s="183">
        <f>(BR120*$E120*$F120*$G120*$M120*$BS$12)</f>
        <v>0</v>
      </c>
      <c r="BT120" s="182"/>
      <c r="BU120" s="182">
        <f>(BT120*$E120*$F120*$G120*$M120*$BU$12)</f>
        <v>0</v>
      </c>
      <c r="BV120" s="182"/>
      <c r="BW120" s="182">
        <f>(BV120*$E120*$F120*$G120*$M120*$BW$12)</f>
        <v>0</v>
      </c>
      <c r="BX120" s="182">
        <v>3</v>
      </c>
      <c r="BY120" s="183">
        <f t="shared" ref="BY120:BY122" si="485">(BX120*$E120*$F120*$G120*$M120*$BY$12)/12*11+(BX120*$E120*$F120*$G120*$M120*$BY$12*$BY$15)/12</f>
        <v>172989.90324806402</v>
      </c>
      <c r="BZ120" s="182"/>
      <c r="CA120" s="187">
        <f>(BZ120*$E120*$F120*$G120*$M120*$CA$12)</f>
        <v>0</v>
      </c>
      <c r="CB120" s="182"/>
      <c r="CC120" s="182">
        <f>(CB120*$E120*$F120*$G120*$L120*$CC$12)</f>
        <v>0</v>
      </c>
      <c r="CD120" s="182"/>
      <c r="CE120" s="182">
        <f>(CD120*$E120*$F120*$G120*$L120*$CE$12)</f>
        <v>0</v>
      </c>
      <c r="CF120" s="182"/>
      <c r="CG120" s="182">
        <f>(CF120*$E120*$F120*$G120*$L120*$CG$12)</f>
        <v>0</v>
      </c>
      <c r="CH120" s="182"/>
      <c r="CI120" s="182">
        <f>(CH120*$E120*$F120*$G120*$M120*$CI$12)</f>
        <v>0</v>
      </c>
      <c r="CJ120" s="182"/>
      <c r="CK120" s="182"/>
      <c r="CL120" s="182"/>
      <c r="CM120" s="183">
        <f>(CL120*$E120*$F120*$G120*$L120*$CM$12)</f>
        <v>0</v>
      </c>
      <c r="CN120" s="182"/>
      <c r="CO120" s="183">
        <f>(CN120*$E120*$F120*$G120*$L120*$CO$12)</f>
        <v>0</v>
      </c>
      <c r="CP120" s="182"/>
      <c r="CQ120" s="182">
        <f>(CP120*$E120*$F120*$G120*$L120*$CQ$12)</f>
        <v>0</v>
      </c>
      <c r="CR120" s="182"/>
      <c r="CS120" s="182">
        <f>(CR120*$E120*$F120*$G120*$L120*$CS$12)</f>
        <v>0</v>
      </c>
      <c r="CT120" s="182"/>
      <c r="CU120" s="182">
        <f>(CT120*$E120*$F120*$G120*$L120*$CU$12)</f>
        <v>0</v>
      </c>
      <c r="CV120" s="182">
        <v>1</v>
      </c>
      <c r="CW120" s="182">
        <v>32066.52</v>
      </c>
      <c r="CX120" s="182"/>
      <c r="CY120" s="182">
        <f>(CX120*$E120*$F120*$G120*$M120*$CY$12)</f>
        <v>0</v>
      </c>
      <c r="CZ120" s="182"/>
      <c r="DA120" s="182">
        <v>0</v>
      </c>
      <c r="DB120" s="188"/>
      <c r="DC120" s="182">
        <f>(DB120*$E120*$F120*$G120*$M120*$DC$12)</f>
        <v>0</v>
      </c>
      <c r="DD120" s="182"/>
      <c r="DE120" s="187">
        <f t="shared" ref="DE120:DE123" si="486">(DD120*$E120*$F120*$G120*$M120*DE$12)</f>
        <v>0</v>
      </c>
      <c r="DF120" s="182">
        <v>2</v>
      </c>
      <c r="DG120" s="182">
        <f>(DF120*$E120*$F120*$G120*$M120*$DG$12)</f>
        <v>85510.723199999993</v>
      </c>
      <c r="DH120" s="189"/>
      <c r="DI120" s="182">
        <f>(DH120*$E120*$F120*$G120*$M120*$DI$12)</f>
        <v>0</v>
      </c>
      <c r="DJ120" s="182"/>
      <c r="DK120" s="182">
        <f>(DJ120*$E120*$F120*$G120*$M120*$DK$12)</f>
        <v>0</v>
      </c>
      <c r="DL120" s="182"/>
      <c r="DM120" s="182">
        <f>(DL120*$E120*$F120*$G120*$N120*$DM$12)</f>
        <v>0</v>
      </c>
      <c r="DN120" s="182">
        <f t="shared" ref="DN120:DN121" si="487">ROUND(1*0.75,0)</f>
        <v>1</v>
      </c>
      <c r="DO120" s="190">
        <f>(DN120*$E120*$F120*$G120*$O120*$DO$12)</f>
        <v>65405.523399999991</v>
      </c>
      <c r="DP120" s="187"/>
      <c r="DQ120" s="187"/>
      <c r="DR120" s="183">
        <f t="shared" ref="DR120:DS138" si="488">SUM(P120,R120,T120,V120,AB120,AJ120,AD120,AF120,AH120,AL120,AN120,AP120,AV120,AZ120,BB120,CF120,AR120,BF120,BH120,BJ120,CT120,BL120,BN120,AT120,BR120,AX120,CV120,BT120,CX120,BV120,BX120,BZ120,CH120,CB120,CD120,CJ120,CL120,CN120,CP120,CR120,CZ120,DB120,BP120,BD120,DD120,DF120,DH120,DJ120,DL120,DN120,DP120)</f>
        <v>81</v>
      </c>
      <c r="DS120" s="183">
        <f t="shared" si="488"/>
        <v>3558571.0898817256</v>
      </c>
      <c r="DT120" s="182">
        <v>83</v>
      </c>
      <c r="DU120" s="182">
        <v>3590941.3808000004</v>
      </c>
      <c r="DV120" s="167">
        <f t="shared" si="319"/>
        <v>-2</v>
      </c>
      <c r="DW120" s="167">
        <f t="shared" si="319"/>
        <v>-32370.290918274783</v>
      </c>
    </row>
    <row r="121" spans="1:127" ht="15.75" customHeight="1" x14ac:dyDescent="0.25">
      <c r="A121" s="154"/>
      <c r="B121" s="176">
        <v>91</v>
      </c>
      <c r="C121" s="177" t="s">
        <v>331</v>
      </c>
      <c r="D121" s="210" t="s">
        <v>332</v>
      </c>
      <c r="E121" s="158">
        <v>25969</v>
      </c>
      <c r="F121" s="179">
        <v>1.55</v>
      </c>
      <c r="G121" s="168">
        <v>1</v>
      </c>
      <c r="H121" s="169"/>
      <c r="I121" s="169"/>
      <c r="J121" s="169"/>
      <c r="K121" s="106"/>
      <c r="L121" s="180">
        <v>1.4</v>
      </c>
      <c r="M121" s="180">
        <v>1.68</v>
      </c>
      <c r="N121" s="180">
        <v>2.23</v>
      </c>
      <c r="O121" s="181">
        <v>2.57</v>
      </c>
      <c r="P121" s="182"/>
      <c r="Q121" s="182">
        <f>(P121*$E121*$F121*$G121*$L121*$Q$12)</f>
        <v>0</v>
      </c>
      <c r="R121" s="182"/>
      <c r="S121" s="182">
        <f>(R121*$E121*$F121*$G121*$L121*$S$12)</f>
        <v>0</v>
      </c>
      <c r="T121" s="182">
        <v>25</v>
      </c>
      <c r="U121" s="182">
        <f t="shared" si="480"/>
        <v>1778633.0406250001</v>
      </c>
      <c r="V121" s="182"/>
      <c r="W121" s="183">
        <f t="shared" si="481"/>
        <v>0</v>
      </c>
      <c r="X121" s="183"/>
      <c r="Y121" s="183">
        <v>0</v>
      </c>
      <c r="Z121" s="183"/>
      <c r="AA121" s="183">
        <v>0</v>
      </c>
      <c r="AB121" s="182">
        <f t="shared" si="482"/>
        <v>0</v>
      </c>
      <c r="AC121" s="182">
        <f t="shared" si="482"/>
        <v>0</v>
      </c>
      <c r="AD121" s="182"/>
      <c r="AE121" s="182">
        <f>(AD121*$E121*$F121*$G121*$L121*$AE$12)</f>
        <v>0</v>
      </c>
      <c r="AF121" s="182"/>
      <c r="AG121" s="182"/>
      <c r="AH121" s="182"/>
      <c r="AI121" s="182">
        <f>(AH121*$E121*$F121*$G121*$L121*$AI$12)</f>
        <v>0</v>
      </c>
      <c r="AJ121" s="182"/>
      <c r="AK121" s="182"/>
      <c r="AL121" s="182"/>
      <c r="AM121" s="182"/>
      <c r="AN121" s="184"/>
      <c r="AO121" s="182">
        <f>(AN121*$E121*$F121*$G121*$L121*$AO$12)</f>
        <v>0</v>
      </c>
      <c r="AP121" s="182"/>
      <c r="AQ121" s="183">
        <f>(AP121*$E121*$F121*$G121*$L121*$AQ$12)</f>
        <v>0</v>
      </c>
      <c r="AR121" s="182"/>
      <c r="AS121" s="182">
        <f t="shared" si="483"/>
        <v>0</v>
      </c>
      <c r="AT121" s="182"/>
      <c r="AU121" s="182">
        <f t="shared" si="484"/>
        <v>0</v>
      </c>
      <c r="AV121" s="188"/>
      <c r="AW121" s="182">
        <f>(AV121*$E121*$F121*$G121*$M121*$AW$12)</f>
        <v>0</v>
      </c>
      <c r="AX121" s="182"/>
      <c r="AY121" s="187">
        <f>(AX121*$E121*$F121*$G121*$M121*$AY$12)</f>
        <v>0</v>
      </c>
      <c r="AZ121" s="182"/>
      <c r="BA121" s="182">
        <f>(AZ121*$E121*$F121*$G121*$L121*$BA$12)</f>
        <v>0</v>
      </c>
      <c r="BB121" s="182">
        <v>0</v>
      </c>
      <c r="BC121" s="182">
        <f>(BB121*$E121*$F121*$G121*$L121*$BC$12)</f>
        <v>0</v>
      </c>
      <c r="BD121" s="182"/>
      <c r="BE121" s="182">
        <f>(BD121*$E121*$F121*$G121*$L121*$BE$12)</f>
        <v>0</v>
      </c>
      <c r="BF121" s="182"/>
      <c r="BG121" s="182">
        <f>(BF121*$E121*$F121*$G121*$L121*$BG$12)</f>
        <v>0</v>
      </c>
      <c r="BH121" s="182"/>
      <c r="BI121" s="183">
        <f>(BH121*$E121*$F121*$G121*$L121*$BI$12)</f>
        <v>0</v>
      </c>
      <c r="BJ121" s="182"/>
      <c r="BK121" s="183">
        <f>(BJ121*$E121*$F121*$G121*$L121*$BK$12)</f>
        <v>0</v>
      </c>
      <c r="BL121" s="182"/>
      <c r="BM121" s="182">
        <f>(BL121*$E121*$F121*$G121*$L121*$BM$12)</f>
        <v>0</v>
      </c>
      <c r="BN121" s="182">
        <v>5</v>
      </c>
      <c r="BO121" s="182">
        <f>(BN121*$E121*$F121*$G121*$M121*$BO$12)</f>
        <v>371928.01800000004</v>
      </c>
      <c r="BP121" s="182"/>
      <c r="BQ121" s="182">
        <f>(BP121*$E121*$F121*$G121*$M121*$BQ$12)</f>
        <v>0</v>
      </c>
      <c r="BR121" s="182"/>
      <c r="BS121" s="183">
        <f>(BR121*$E121*$F121*$G121*$M121*$BS$12)</f>
        <v>0</v>
      </c>
      <c r="BT121" s="182"/>
      <c r="BU121" s="182">
        <f>(BT121*$E121*$F121*$G121*$M121*$BU$12)</f>
        <v>0</v>
      </c>
      <c r="BV121" s="182"/>
      <c r="BW121" s="182">
        <f>(BV121*$E121*$F121*$G121*$M121*$BW$12)</f>
        <v>0</v>
      </c>
      <c r="BX121" s="182"/>
      <c r="BY121" s="183">
        <f t="shared" si="485"/>
        <v>0</v>
      </c>
      <c r="BZ121" s="182"/>
      <c r="CA121" s="187">
        <f>(BZ121*$E121*$F121*$G121*$M121*$CA$12)</f>
        <v>0</v>
      </c>
      <c r="CB121" s="182"/>
      <c r="CC121" s="182">
        <f>(CB121*$E121*$F121*$G121*$L121*$CC$12)</f>
        <v>0</v>
      </c>
      <c r="CD121" s="182"/>
      <c r="CE121" s="182">
        <f>(CD121*$E121*$F121*$G121*$L121*$CE$12)</f>
        <v>0</v>
      </c>
      <c r="CF121" s="182"/>
      <c r="CG121" s="182">
        <f>(CF121*$E121*$F121*$G121*$L121*$CG$12)</f>
        <v>0</v>
      </c>
      <c r="CH121" s="182"/>
      <c r="CI121" s="182">
        <f>(CH121*$E121*$F121*$G121*$M121*$CI$12)</f>
        <v>0</v>
      </c>
      <c r="CJ121" s="182"/>
      <c r="CK121" s="182"/>
      <c r="CL121" s="182"/>
      <c r="CM121" s="183">
        <f>(CL121*$E121*$F121*$G121*$L121*$CM$12)</f>
        <v>0</v>
      </c>
      <c r="CN121" s="182"/>
      <c r="CO121" s="183">
        <f>(CN121*$E121*$F121*$G121*$L121*$CO$12)</f>
        <v>0</v>
      </c>
      <c r="CP121" s="182"/>
      <c r="CQ121" s="182">
        <f>(CP121*$E121*$F121*$G121*$L121*$CQ$12)</f>
        <v>0</v>
      </c>
      <c r="CR121" s="182"/>
      <c r="CS121" s="182">
        <f>(CR121*$E121*$F121*$G121*$L121*$CS$12)</f>
        <v>0</v>
      </c>
      <c r="CT121" s="182"/>
      <c r="CU121" s="182">
        <f>(CT121*$E121*$F121*$G121*$L121*$CU$12)</f>
        <v>0</v>
      </c>
      <c r="CV121" s="182"/>
      <c r="CW121" s="182">
        <v>0</v>
      </c>
      <c r="CX121" s="182"/>
      <c r="CY121" s="182">
        <f>(CX121*$E121*$F121*$G121*$M121*$CY$12)</f>
        <v>0</v>
      </c>
      <c r="CZ121" s="182"/>
      <c r="DA121" s="182">
        <v>0</v>
      </c>
      <c r="DB121" s="188"/>
      <c r="DC121" s="182">
        <f>(DB121*$E121*$F121*$G121*$M121*$DC$12)</f>
        <v>0</v>
      </c>
      <c r="DD121" s="182"/>
      <c r="DE121" s="187">
        <f t="shared" si="486"/>
        <v>0</v>
      </c>
      <c r="DF121" s="182"/>
      <c r="DG121" s="182">
        <f>(DF121*$E121*$F121*$G121*$M121*$DG$12)</f>
        <v>0</v>
      </c>
      <c r="DH121" s="189"/>
      <c r="DI121" s="182">
        <f>(DH121*$E121*$F121*$G121*$M121*$DI$12)</f>
        <v>0</v>
      </c>
      <c r="DJ121" s="182"/>
      <c r="DK121" s="182">
        <f>(DJ121*$E121*$F121*$G121*$M121*$DK$12)</f>
        <v>0</v>
      </c>
      <c r="DL121" s="182"/>
      <c r="DM121" s="182">
        <f>(DL121*$E121*$F121*$G121*$N121*$DM$12)</f>
        <v>0</v>
      </c>
      <c r="DN121" s="182">
        <f t="shared" si="487"/>
        <v>1</v>
      </c>
      <c r="DO121" s="190">
        <f>(DN121*$E121*$F121*$G121*$O121*$DO$12)</f>
        <v>103447.51150000001</v>
      </c>
      <c r="DP121" s="187"/>
      <c r="DQ121" s="187"/>
      <c r="DR121" s="183">
        <f t="shared" si="488"/>
        <v>31</v>
      </c>
      <c r="DS121" s="183">
        <f t="shared" si="488"/>
        <v>2254008.5701250001</v>
      </c>
      <c r="DT121" s="182">
        <v>31</v>
      </c>
      <c r="DU121" s="182">
        <v>2236398.3420000002</v>
      </c>
      <c r="DV121" s="167">
        <f t="shared" si="319"/>
        <v>0</v>
      </c>
      <c r="DW121" s="167">
        <f t="shared" si="319"/>
        <v>17610.228124999907</v>
      </c>
    </row>
    <row r="122" spans="1:127" ht="15.75" customHeight="1" x14ac:dyDescent="0.25">
      <c r="A122" s="154"/>
      <c r="B122" s="176">
        <v>92</v>
      </c>
      <c r="C122" s="177" t="s">
        <v>333</v>
      </c>
      <c r="D122" s="210" t="s">
        <v>334</v>
      </c>
      <c r="E122" s="158">
        <v>25969</v>
      </c>
      <c r="F122" s="179">
        <v>0.84</v>
      </c>
      <c r="G122" s="168">
        <v>1</v>
      </c>
      <c r="H122" s="169"/>
      <c r="I122" s="169"/>
      <c r="J122" s="169"/>
      <c r="K122" s="106"/>
      <c r="L122" s="180">
        <v>1.4</v>
      </c>
      <c r="M122" s="180">
        <v>1.68</v>
      </c>
      <c r="N122" s="180">
        <v>2.23</v>
      </c>
      <c r="O122" s="181">
        <v>2.57</v>
      </c>
      <c r="P122" s="182">
        <v>25</v>
      </c>
      <c r="Q122" s="182">
        <f>(P122*$E122*$F122*$G122*$L122*$Q$12)</f>
        <v>839837.46000000008</v>
      </c>
      <c r="R122" s="182">
        <v>30</v>
      </c>
      <c r="S122" s="182">
        <f>(R122*$E122*$F122*$G122*$L122*$S$12)</f>
        <v>1007804.9519999999</v>
      </c>
      <c r="T122" s="182">
        <v>66</v>
      </c>
      <c r="U122" s="182">
        <f t="shared" si="480"/>
        <v>2544707.5037999996</v>
      </c>
      <c r="V122" s="182"/>
      <c r="W122" s="183">
        <f t="shared" si="481"/>
        <v>0</v>
      </c>
      <c r="X122" s="183"/>
      <c r="Y122" s="183">
        <v>0</v>
      </c>
      <c r="Z122" s="183"/>
      <c r="AA122" s="183">
        <v>0</v>
      </c>
      <c r="AB122" s="182">
        <f t="shared" si="482"/>
        <v>0</v>
      </c>
      <c r="AC122" s="182">
        <f t="shared" si="482"/>
        <v>0</v>
      </c>
      <c r="AD122" s="182"/>
      <c r="AE122" s="182">
        <f>(AD122*$E122*$F122*$G122*$L122*$AE$12)</f>
        <v>0</v>
      </c>
      <c r="AF122" s="182"/>
      <c r="AG122" s="182"/>
      <c r="AH122" s="182">
        <v>50</v>
      </c>
      <c r="AI122" s="182">
        <f>(AH122*$E122*$F122*$G122*$L122*$AI$12)</f>
        <v>1679674.9200000002</v>
      </c>
      <c r="AJ122" s="182"/>
      <c r="AK122" s="182"/>
      <c r="AL122" s="182"/>
      <c r="AM122" s="182"/>
      <c r="AN122" s="184"/>
      <c r="AO122" s="182">
        <f>(AN122*$E122*$F122*$G122*$L122*$AO$12)</f>
        <v>0</v>
      </c>
      <c r="AP122" s="182">
        <v>3</v>
      </c>
      <c r="AQ122" s="183">
        <f>(AP122*$E122*$F122*$G122*$L122*$AQ$12)</f>
        <v>100780.4952</v>
      </c>
      <c r="AR122" s="182"/>
      <c r="AS122" s="182">
        <f t="shared" si="483"/>
        <v>0</v>
      </c>
      <c r="AT122" s="182"/>
      <c r="AU122" s="182">
        <f t="shared" si="484"/>
        <v>0</v>
      </c>
      <c r="AV122" s="188"/>
      <c r="AW122" s="182">
        <f>(AV122*$E122*$F122*$G122*$M122*$AW$12)</f>
        <v>0</v>
      </c>
      <c r="AX122" s="182">
        <v>7</v>
      </c>
      <c r="AY122" s="187">
        <f>(AX122*$E122*$F122*$G122*$M122*$AY$12)</f>
        <v>282185.38656000001</v>
      </c>
      <c r="AZ122" s="182"/>
      <c r="BA122" s="182">
        <f>(AZ122*$E122*$F122*$G122*$L122*$BA$12)</f>
        <v>0</v>
      </c>
      <c r="BB122" s="182"/>
      <c r="BC122" s="182">
        <f>(BB122*$E122*$F122*$G122*$L122*$BC$12)</f>
        <v>0</v>
      </c>
      <c r="BD122" s="182"/>
      <c r="BE122" s="182">
        <f>(BD122*$E122*$F122*$G122*$L122*$BE$12)</f>
        <v>0</v>
      </c>
      <c r="BF122" s="182"/>
      <c r="BG122" s="182">
        <f>(BF122*$E122*$F122*$G122*$L122*$BG$12)</f>
        <v>0</v>
      </c>
      <c r="BH122" s="182"/>
      <c r="BI122" s="183">
        <f>(BH122*$E122*$F122*$G122*$L122*$BI$12)</f>
        <v>0</v>
      </c>
      <c r="BJ122" s="182"/>
      <c r="BK122" s="183">
        <f>(BJ122*$E122*$F122*$G122*$L122*$BK$12)</f>
        <v>0</v>
      </c>
      <c r="BL122" s="182"/>
      <c r="BM122" s="182">
        <f>(BL122*$E122*$F122*$G122*$L122*$BM$12)</f>
        <v>0</v>
      </c>
      <c r="BN122" s="182">
        <v>14</v>
      </c>
      <c r="BO122" s="182">
        <f>(BN122*$E122*$F122*$G122*$M122*$BO$12)</f>
        <v>564370.77312000003</v>
      </c>
      <c r="BP122" s="182"/>
      <c r="BQ122" s="182">
        <f>(BP122*$E122*$F122*$G122*$M122*$BQ$12)</f>
        <v>0</v>
      </c>
      <c r="BR122" s="182"/>
      <c r="BS122" s="183">
        <f>(BR122*$E122*$F122*$G122*$M122*$BS$12)</f>
        <v>0</v>
      </c>
      <c r="BT122" s="182">
        <v>4</v>
      </c>
      <c r="BU122" s="182">
        <f t="shared" ref="BU122" si="489">(BT122*$E122*$F122*$G122*$M122*$BU$12)/12*10+(BT122*$E122*$F122*$G122*$M122*$BU$13)/12+(BT122*$E122*$F122*$G122*$M122*$BU$13*$BU$15)/12</f>
        <v>163301.2451298816</v>
      </c>
      <c r="BV122" s="182">
        <v>2</v>
      </c>
      <c r="BW122" s="182">
        <f>(BV122*$E122*$F122*$G122*$M122*$BW$12)</f>
        <v>65965.415040000007</v>
      </c>
      <c r="BX122" s="182">
        <v>7</v>
      </c>
      <c r="BY122" s="183">
        <f t="shared" si="485"/>
        <v>345979.80649612803</v>
      </c>
      <c r="BZ122" s="182">
        <v>2</v>
      </c>
      <c r="CA122" s="187">
        <f t="shared" ref="CA122:CA123" si="490">(BZ122*$E122*$F122*$G122*$M122*$CA$12)/12*11+(BZ122*$E122*$F122*$G122*$M122*$CA$12*$CA$15)/12</f>
        <v>95790.944501279984</v>
      </c>
      <c r="CB122" s="182"/>
      <c r="CC122" s="182">
        <f>(CB122*$E122*$F122*$G122*$L122*$CC$12)</f>
        <v>0</v>
      </c>
      <c r="CD122" s="182"/>
      <c r="CE122" s="182">
        <f>(CD122*$E122*$F122*$G122*$L122*$CE$12)</f>
        <v>0</v>
      </c>
      <c r="CF122" s="182"/>
      <c r="CG122" s="182">
        <f>(CF122*$E122*$F122*$G122*$L122*$CG$12)</f>
        <v>0</v>
      </c>
      <c r="CH122" s="182">
        <v>22</v>
      </c>
      <c r="CI122" s="182">
        <f t="shared" ref="CI122" si="491">(CH122*$E122*$F122*$G122*$M122*$CI$12)/12*11+(CH122*$E122*$F122*$G122*$M122*$CI$12*$CI$15)/12</f>
        <v>898506.48934569594</v>
      </c>
      <c r="CJ122" s="182"/>
      <c r="CK122" s="182"/>
      <c r="CL122" s="182"/>
      <c r="CM122" s="183">
        <f>(CL122*$E122*$F122*$G122*$L122*$CM$12)</f>
        <v>0</v>
      </c>
      <c r="CN122" s="182"/>
      <c r="CO122" s="183">
        <f>(CN122*$E122*$F122*$G122*$L122*$CO$12)</f>
        <v>0</v>
      </c>
      <c r="CP122" s="182">
        <v>9</v>
      </c>
      <c r="CQ122" s="182">
        <f t="shared" ref="CQ122:CQ123" si="492">(CP122*$E122*$F122*$G122*$L122*$CQ$12)/12*11+(CP122*$E122*$F122*$G122*$L122*$CQ$12*$CQ$15)/12</f>
        <v>304628.28665471997</v>
      </c>
      <c r="CR122" s="182">
        <v>2</v>
      </c>
      <c r="CS122" s="182">
        <f t="shared" ref="CS122" si="493">(CR122*$E122*$F122*$G122*$L122*$CS$12)/12*10+(CR122*$E122*$F122*$G122*$L122*$CS$13)/12+(CR122*$E122*$F122*$G122*$L122*$CS$13*$CS$15)/12</f>
        <v>73225.784432079992</v>
      </c>
      <c r="CT122" s="182"/>
      <c r="CU122" s="182">
        <f>(CT122*$E122*$F122*$G122*$L122*$CU$12)</f>
        <v>0</v>
      </c>
      <c r="CV122" s="182">
        <v>2</v>
      </c>
      <c r="CW122" s="182">
        <v>73294.899999999994</v>
      </c>
      <c r="CX122" s="182">
        <v>10</v>
      </c>
      <c r="CY122" s="182">
        <f>(CX122/12*11*$E122*$F122*$G122*$M122*$CY$12)+(CX122/12*$E122*$F122*$G122*$M122*$CY$15*$CY$12)</f>
        <v>395495.64587231999</v>
      </c>
      <c r="CZ122" s="182">
        <v>26</v>
      </c>
      <c r="DA122" s="182">
        <v>934509.97999999952</v>
      </c>
      <c r="DB122" s="188"/>
      <c r="DC122" s="182">
        <f>(DB122*$E122*$F122*$G122*$M122*$DC$12)</f>
        <v>0</v>
      </c>
      <c r="DD122" s="182"/>
      <c r="DE122" s="187">
        <f t="shared" si="486"/>
        <v>0</v>
      </c>
      <c r="DF122" s="182"/>
      <c r="DG122" s="182">
        <f>(DF122*$E122*$F122*$G122*$M122*$DG$12)</f>
        <v>0</v>
      </c>
      <c r="DH122" s="189"/>
      <c r="DI122" s="182">
        <f>(DH122*$E122*$F122*$G122*$M122*$DI$12)</f>
        <v>0</v>
      </c>
      <c r="DJ122" s="182">
        <v>5</v>
      </c>
      <c r="DK122" s="182">
        <f>(DJ122/12*11*$E122*$F122*$G122*$M122*$DK$12)+(DJ122/12*1*$E122*$F122*$M122*$G122*$DK$12*$DK$15)</f>
        <v>199672.1196036</v>
      </c>
      <c r="DL122" s="182"/>
      <c r="DM122" s="182">
        <f>(DL122*$E122*$F122*$G122*$N122*$DM$12)</f>
        <v>0</v>
      </c>
      <c r="DN122" s="182"/>
      <c r="DO122" s="190">
        <f>(DN122*$E122*$F122*$G122*$O122*$DO$12)</f>
        <v>0</v>
      </c>
      <c r="DP122" s="187"/>
      <c r="DQ122" s="187"/>
      <c r="DR122" s="183">
        <f t="shared" si="488"/>
        <v>286</v>
      </c>
      <c r="DS122" s="183">
        <f t="shared" si="488"/>
        <v>10569732.107755706</v>
      </c>
      <c r="DT122" s="182">
        <v>281</v>
      </c>
      <c r="DU122" s="182">
        <v>10141164.5056</v>
      </c>
      <c r="DV122" s="167">
        <f t="shared" si="319"/>
        <v>5</v>
      </c>
      <c r="DW122" s="167">
        <f t="shared" si="319"/>
        <v>428567.60215570591</v>
      </c>
    </row>
    <row r="123" spans="1:127" ht="32.25" customHeight="1" x14ac:dyDescent="0.25">
      <c r="A123" s="154"/>
      <c r="B123" s="176">
        <v>93</v>
      </c>
      <c r="C123" s="177" t="s">
        <v>335</v>
      </c>
      <c r="D123" s="210" t="s">
        <v>336</v>
      </c>
      <c r="E123" s="158">
        <v>25969</v>
      </c>
      <c r="F123" s="179">
        <v>1.33</v>
      </c>
      <c r="G123" s="168">
        <v>1</v>
      </c>
      <c r="H123" s="169"/>
      <c r="I123" s="169"/>
      <c r="J123" s="169"/>
      <c r="K123" s="106"/>
      <c r="L123" s="180">
        <v>1.4</v>
      </c>
      <c r="M123" s="180">
        <v>1.68</v>
      </c>
      <c r="N123" s="180">
        <v>2.23</v>
      </c>
      <c r="O123" s="181">
        <v>2.57</v>
      </c>
      <c r="P123" s="182">
        <v>250</v>
      </c>
      <c r="Q123" s="182">
        <f>(P123*$E123*$F123*$G123*$L123*$Q$12)</f>
        <v>13297426.450000001</v>
      </c>
      <c r="R123" s="182">
        <v>21</v>
      </c>
      <c r="S123" s="182">
        <f>(R123*$E123*$F123*$G123*$L123*$S$12)</f>
        <v>1116983.8218</v>
      </c>
      <c r="T123" s="182">
        <v>6</v>
      </c>
      <c r="U123" s="182">
        <f t="shared" si="480"/>
        <v>366283.65584999998</v>
      </c>
      <c r="V123" s="182"/>
      <c r="W123" s="183">
        <f t="shared" si="481"/>
        <v>0</v>
      </c>
      <c r="X123" s="183"/>
      <c r="Y123" s="183">
        <v>0</v>
      </c>
      <c r="Z123" s="183"/>
      <c r="AA123" s="183">
        <v>0</v>
      </c>
      <c r="AB123" s="182">
        <f t="shared" si="482"/>
        <v>0</v>
      </c>
      <c r="AC123" s="182">
        <f t="shared" si="482"/>
        <v>0</v>
      </c>
      <c r="AD123" s="182"/>
      <c r="AE123" s="182">
        <f>(AD123*$E123*$F123*$G123*$L123*$AE$12)</f>
        <v>0</v>
      </c>
      <c r="AF123" s="182"/>
      <c r="AG123" s="182"/>
      <c r="AH123" s="182">
        <v>8</v>
      </c>
      <c r="AI123" s="182">
        <f>(AH123*$E123*$F123*$G123*$L123*$AI$12)</f>
        <v>425517.64640000009</v>
      </c>
      <c r="AJ123" s="182"/>
      <c r="AK123" s="182"/>
      <c r="AL123" s="182"/>
      <c r="AM123" s="182"/>
      <c r="AN123" s="184"/>
      <c r="AO123" s="182">
        <f>(AN123*$E123*$F123*$G123*$L123*$AO$12)</f>
        <v>0</v>
      </c>
      <c r="AP123" s="182"/>
      <c r="AQ123" s="183">
        <f>(AP123*$E123*$F123*$G123*$L123*$AQ$12)</f>
        <v>0</v>
      </c>
      <c r="AR123" s="182"/>
      <c r="AS123" s="182">
        <f t="shared" si="483"/>
        <v>0</v>
      </c>
      <c r="AT123" s="182">
        <f>9-2</f>
        <v>7</v>
      </c>
      <c r="AU123" s="182">
        <f t="shared" si="484"/>
        <v>468076.94463651249</v>
      </c>
      <c r="AV123" s="188"/>
      <c r="AW123" s="182">
        <f>(AV123*$E123*$F123*$G123*$M123*$AW$12)</f>
        <v>0</v>
      </c>
      <c r="AX123" s="182">
        <v>3</v>
      </c>
      <c r="AY123" s="187">
        <f>(AX123*$E123*$F123*$G123*$M123*$AY$12)</f>
        <v>191482.94088000001</v>
      </c>
      <c r="AZ123" s="182"/>
      <c r="BA123" s="182">
        <f>(AZ123*$E123*$F123*$G123*$L123*$BA$12)</f>
        <v>0</v>
      </c>
      <c r="BB123" s="182">
        <v>0</v>
      </c>
      <c r="BC123" s="182">
        <f>(BB123*$E123*$F123*$G123*$L123*$BC$12)</f>
        <v>0</v>
      </c>
      <c r="BD123" s="182"/>
      <c r="BE123" s="182">
        <f>(BD123*$E123*$F123*$G123*$L123*$BE$12)</f>
        <v>0</v>
      </c>
      <c r="BF123" s="182"/>
      <c r="BG123" s="182">
        <f>(BF123*$E123*$F123*$G123*$L123*$BG$12)</f>
        <v>0</v>
      </c>
      <c r="BH123" s="182"/>
      <c r="BI123" s="183">
        <f>(BH123*$E123*$F123*$G123*$L123*$BI$12)</f>
        <v>0</v>
      </c>
      <c r="BJ123" s="182"/>
      <c r="BK123" s="183">
        <f>(BJ123*$E123*$F123*$G123*$L123*$BK$12)</f>
        <v>0</v>
      </c>
      <c r="BL123" s="182"/>
      <c r="BM123" s="182">
        <f>(BL123*$E123*$F123*$G123*$L123*$BM$12)</f>
        <v>0</v>
      </c>
      <c r="BN123" s="182">
        <v>14</v>
      </c>
      <c r="BO123" s="182">
        <f>(BN123*$E123*$F123*$G123*$M123*$BO$12)</f>
        <v>893587.05744000012</v>
      </c>
      <c r="BP123" s="182"/>
      <c r="BQ123" s="182">
        <f>(BP123*$E123*$F123*$G123*$M123*$BQ$12)</f>
        <v>0</v>
      </c>
      <c r="BR123" s="182"/>
      <c r="BS123" s="183">
        <f>(BR123*$E123*$F123*$G123*$M123*$BS$12)</f>
        <v>0</v>
      </c>
      <c r="BT123" s="182"/>
      <c r="BU123" s="182">
        <f>(BT123*$E123*$F123*$G123*$M123*$BU$12)</f>
        <v>0</v>
      </c>
      <c r="BV123" s="182"/>
      <c r="BW123" s="182">
        <f>(BV123*$E123*$F123*$G123*$M123*$BW$12)</f>
        <v>0</v>
      </c>
      <c r="BX123" s="182"/>
      <c r="BY123" s="183">
        <f>(BX123*$E123*$F123*$G123*$M123*$BY$12)</f>
        <v>0</v>
      </c>
      <c r="BZ123" s="182">
        <v>2</v>
      </c>
      <c r="CA123" s="187">
        <f t="shared" si="490"/>
        <v>151668.99546036002</v>
      </c>
      <c r="CB123" s="182"/>
      <c r="CC123" s="182">
        <f>(CB123*$E123*$F123*$G123*$L123*$CC$12)</f>
        <v>0</v>
      </c>
      <c r="CD123" s="182"/>
      <c r="CE123" s="182">
        <f>(CD123*$E123*$F123*$G123*$L123*$CE$12)</f>
        <v>0</v>
      </c>
      <c r="CF123" s="182"/>
      <c r="CG123" s="182">
        <f>(CF123*$E123*$F123*$G123*$L123*$CG$12)</f>
        <v>0</v>
      </c>
      <c r="CH123" s="182"/>
      <c r="CI123" s="182">
        <f>(CH123*$E123*$F123*$G123*$M123*$CI$12)</f>
        <v>0</v>
      </c>
      <c r="CJ123" s="182"/>
      <c r="CK123" s="182"/>
      <c r="CL123" s="182"/>
      <c r="CM123" s="183">
        <f>(CL123*$E123*$F123*$G123*$L123*$CM$12)</f>
        <v>0</v>
      </c>
      <c r="CN123" s="182"/>
      <c r="CO123" s="183">
        <f>(CN123*$E123*$F123*$G123*$L123*$CO$12)</f>
        <v>0</v>
      </c>
      <c r="CP123" s="182">
        <v>2</v>
      </c>
      <c r="CQ123" s="182">
        <f t="shared" si="492"/>
        <v>107184.02678592001</v>
      </c>
      <c r="CR123" s="182"/>
      <c r="CS123" s="182">
        <f>(CR123*$E123*$F123*$G123*$L123*$CS$12)</f>
        <v>0</v>
      </c>
      <c r="CT123" s="182"/>
      <c r="CU123" s="182">
        <f>(CT123*$E123*$F123*$G123*$L123*$CU$12)</f>
        <v>0</v>
      </c>
      <c r="CV123" s="182">
        <v>2</v>
      </c>
      <c r="CW123" s="182">
        <v>116050.26</v>
      </c>
      <c r="CX123" s="182"/>
      <c r="CY123" s="182">
        <f>(CX123*$E123*$F123*$G123*$M123*$CY$12)</f>
        <v>0</v>
      </c>
      <c r="CZ123" s="182">
        <v>7</v>
      </c>
      <c r="DA123" s="182">
        <v>406175.91</v>
      </c>
      <c r="DB123" s="188"/>
      <c r="DC123" s="182">
        <f>(DB123*$E123*$F123*$G123*$M123*$DC$12)</f>
        <v>0</v>
      </c>
      <c r="DD123" s="182"/>
      <c r="DE123" s="187">
        <f t="shared" si="486"/>
        <v>0</v>
      </c>
      <c r="DF123" s="182"/>
      <c r="DG123" s="182">
        <f>(DF123*$E123*$F123*$G123*$M123*$DG$12)</f>
        <v>0</v>
      </c>
      <c r="DH123" s="189"/>
      <c r="DI123" s="182">
        <f>(DH123*$E123*$F123*$G123*$M123*$DI$12)</f>
        <v>0</v>
      </c>
      <c r="DJ123" s="182"/>
      <c r="DK123" s="182">
        <f>(DJ123*$E123*$F123*$G123*$M123*$DK$12)</f>
        <v>0</v>
      </c>
      <c r="DL123" s="182"/>
      <c r="DM123" s="182">
        <f>(DL123*$E123*$F123*$G123*$N123*$DM$12)</f>
        <v>0</v>
      </c>
      <c r="DN123" s="182"/>
      <c r="DO123" s="190">
        <f>(DN123*$E123*$F123*$G123*$O123*$DO$12)</f>
        <v>0</v>
      </c>
      <c r="DP123" s="187"/>
      <c r="DQ123" s="187"/>
      <c r="DR123" s="183">
        <f t="shared" si="488"/>
        <v>322</v>
      </c>
      <c r="DS123" s="183">
        <f t="shared" si="488"/>
        <v>17540437.709252797</v>
      </c>
      <c r="DT123" s="182">
        <v>322</v>
      </c>
      <c r="DU123" s="182">
        <v>17502797.975260008</v>
      </c>
      <c r="DV123" s="167">
        <f t="shared" si="319"/>
        <v>0</v>
      </c>
      <c r="DW123" s="167">
        <f t="shared" si="319"/>
        <v>37639.733992788941</v>
      </c>
    </row>
    <row r="124" spans="1:127" ht="18.75" customHeight="1" x14ac:dyDescent="0.25">
      <c r="A124" s="154"/>
      <c r="B124" s="176">
        <v>94</v>
      </c>
      <c r="C124" s="177" t="s">
        <v>337</v>
      </c>
      <c r="D124" s="210" t="s">
        <v>338</v>
      </c>
      <c r="E124" s="158">
        <v>25969</v>
      </c>
      <c r="F124" s="179">
        <v>0.96</v>
      </c>
      <c r="G124" s="168">
        <v>1</v>
      </c>
      <c r="H124" s="242"/>
      <c r="I124" s="242"/>
      <c r="J124" s="242"/>
      <c r="K124" s="106"/>
      <c r="L124" s="180">
        <v>1.4</v>
      </c>
      <c r="M124" s="180">
        <v>1.68</v>
      </c>
      <c r="N124" s="180">
        <v>2.23</v>
      </c>
      <c r="O124" s="181">
        <v>2.57</v>
      </c>
      <c r="P124" s="182">
        <v>30</v>
      </c>
      <c r="Q124" s="182">
        <f>(P124*$E124*$F124*$G124*$L124)</f>
        <v>1047070.0799999998</v>
      </c>
      <c r="R124" s="182">
        <v>150</v>
      </c>
      <c r="S124" s="187">
        <f>(R124*$E124*$F124*$G124*$L124)</f>
        <v>5235350.3999999994</v>
      </c>
      <c r="T124" s="182">
        <v>176</v>
      </c>
      <c r="U124" s="182">
        <f>(T124*$E124*$F124*$G124*$L124)</f>
        <v>6142811.1359999999</v>
      </c>
      <c r="V124" s="182"/>
      <c r="W124" s="182">
        <f>(V124*$E124*$F124*$G124*$L124)</f>
        <v>0</v>
      </c>
      <c r="X124" s="182"/>
      <c r="Y124" s="182">
        <v>0</v>
      </c>
      <c r="Z124" s="182"/>
      <c r="AA124" s="182">
        <v>0</v>
      </c>
      <c r="AB124" s="182">
        <f>X124+Z124</f>
        <v>0</v>
      </c>
      <c r="AC124" s="182">
        <f>Y124+AA124</f>
        <v>0</v>
      </c>
      <c r="AD124" s="182"/>
      <c r="AE124" s="182">
        <f>(AD124*$E124*$F124*$G124*$L124)</f>
        <v>0</v>
      </c>
      <c r="AF124" s="182"/>
      <c r="AG124" s="182"/>
      <c r="AH124" s="182">
        <v>55</v>
      </c>
      <c r="AI124" s="182">
        <f>(AH124*$E124*$F124*$G124*$L124)</f>
        <v>1919628.4799999997</v>
      </c>
      <c r="AJ124" s="182"/>
      <c r="AK124" s="182"/>
      <c r="AL124" s="182"/>
      <c r="AM124" s="182"/>
      <c r="AN124" s="184"/>
      <c r="AO124" s="182">
        <f>(AN124*$E124*$F124*$G124*$L124)</f>
        <v>0</v>
      </c>
      <c r="AP124" s="182">
        <v>2</v>
      </c>
      <c r="AQ124" s="182">
        <f>(AP124*$E124*$F124*$G124*$L124)</f>
        <v>69804.671999999991</v>
      </c>
      <c r="AR124" s="182"/>
      <c r="AS124" s="182">
        <f>(AR124*$E124*$F124*$G124*$L124)</f>
        <v>0</v>
      </c>
      <c r="AT124" s="182">
        <v>30</v>
      </c>
      <c r="AU124" s="183">
        <f>(AT124*$E124*$F124*$G124*$M124)</f>
        <v>1256484.0959999999</v>
      </c>
      <c r="AV124" s="188"/>
      <c r="AW124" s="182">
        <f>(AV124*$E124*$F124*$G124*$M124)</f>
        <v>0</v>
      </c>
      <c r="AX124" s="182">
        <v>4</v>
      </c>
      <c r="AY124" s="187">
        <f>(AX124*$E124*$F124*$G124*$M124)</f>
        <v>167531.21279999998</v>
      </c>
      <c r="AZ124" s="182"/>
      <c r="BA124" s="182">
        <f>(AZ124*$E124*$F124*$G124*$L124*$AO$12)</f>
        <v>0</v>
      </c>
      <c r="BB124" s="182">
        <v>0</v>
      </c>
      <c r="BC124" s="182">
        <f>(BB124*$E124*$F124*$G124*$L124*BC$12)</f>
        <v>0</v>
      </c>
      <c r="BD124" s="182"/>
      <c r="BE124" s="182">
        <f>(BD124*$E124*$F124*$G124*$L124*BE$12)</f>
        <v>0</v>
      </c>
      <c r="BF124" s="182"/>
      <c r="BG124" s="182">
        <f>(BF124*$E124*$F124*$G124*$L124)</f>
        <v>0</v>
      </c>
      <c r="BH124" s="182"/>
      <c r="BI124" s="182">
        <f t="shared" ref="BI124" si="494">(BH124*$E124*$F124*$G124*$L124)</f>
        <v>0</v>
      </c>
      <c r="BJ124" s="182"/>
      <c r="BK124" s="182"/>
      <c r="BL124" s="182">
        <v>6</v>
      </c>
      <c r="BM124" s="182">
        <f>(BL124*$E124*$F124*$G124*$L124)</f>
        <v>209414.016</v>
      </c>
      <c r="BN124" s="182">
        <v>87</v>
      </c>
      <c r="BO124" s="182">
        <f>(BN124*$E124*$F124*$G124*$M124)</f>
        <v>3643803.8783999998</v>
      </c>
      <c r="BP124" s="182">
        <v>25</v>
      </c>
      <c r="BQ124" s="182">
        <f>(BP124*$E124*$F124*$G124*$M124)</f>
        <v>1047070.08</v>
      </c>
      <c r="BR124" s="182"/>
      <c r="BS124" s="182">
        <f>(BR124*$E124*$F124*$G124*$M124)</f>
        <v>0</v>
      </c>
      <c r="BT124" s="182">
        <v>6</v>
      </c>
      <c r="BU124" s="182">
        <f>(BT124*$E124*$F124*$G124*$M124)</f>
        <v>251296.8192</v>
      </c>
      <c r="BV124" s="182">
        <v>6</v>
      </c>
      <c r="BW124" s="182">
        <f>(BV124*$E124*$F124*$G124*$M124)</f>
        <v>251296.8192</v>
      </c>
      <c r="BX124" s="182">
        <v>12</v>
      </c>
      <c r="BY124" s="182">
        <f>(BX124*$E124*$F124*$G124*$M124)</f>
        <v>502593.6384</v>
      </c>
      <c r="BZ124" s="182">
        <v>35</v>
      </c>
      <c r="CA124" s="187">
        <f>(BZ124*$E124*$F124*$G124*$M124)</f>
        <v>1465898.112</v>
      </c>
      <c r="CB124" s="182"/>
      <c r="CC124" s="182">
        <f>(CB124*$E124*$F124*$G124*$L124)</f>
        <v>0</v>
      </c>
      <c r="CD124" s="182"/>
      <c r="CE124" s="183">
        <f>(CD124*$E124*$F124*$G124*$L124)</f>
        <v>0</v>
      </c>
      <c r="CF124" s="182"/>
      <c r="CG124" s="182">
        <f>(CF124*$E124*$F124*$G124*$L124)</f>
        <v>0</v>
      </c>
      <c r="CH124" s="182">
        <v>10</v>
      </c>
      <c r="CI124" s="182">
        <f>(CH124*$E124*$F124*$G124*$M124)</f>
        <v>418828.03199999995</v>
      </c>
      <c r="CJ124" s="182"/>
      <c r="CK124" s="182"/>
      <c r="CL124" s="182"/>
      <c r="CM124" s="182">
        <f>(CL124*$E124*$F124*$G124*$L124)</f>
        <v>0</v>
      </c>
      <c r="CN124" s="182"/>
      <c r="CO124" s="182">
        <f>(CN124*$E124*$F124*$G124*$L124)</f>
        <v>0</v>
      </c>
      <c r="CP124" s="182">
        <v>12</v>
      </c>
      <c r="CQ124" s="182">
        <f>(CP124*$E124*$F124*$G124*$L124)</f>
        <v>418828.03200000001</v>
      </c>
      <c r="CR124" s="182">
        <v>2</v>
      </c>
      <c r="CS124" s="182">
        <f>(CR124*$E124*$F124*$G124*$L124)</f>
        <v>69804.671999999991</v>
      </c>
      <c r="CT124" s="182">
        <v>8</v>
      </c>
      <c r="CU124" s="182">
        <f>(CT124*$E124*$F124*$G124*$L124)</f>
        <v>279218.68799999997</v>
      </c>
      <c r="CV124" s="182">
        <v>20</v>
      </c>
      <c r="CW124" s="182">
        <v>804173.07000000018</v>
      </c>
      <c r="CX124" s="182"/>
      <c r="CY124" s="182">
        <f>(CX124*$E124*$F124*$G124*$M124)</f>
        <v>0</v>
      </c>
      <c r="CZ124" s="182">
        <v>11</v>
      </c>
      <c r="DA124" s="182">
        <v>429298.69999999995</v>
      </c>
      <c r="DB124" s="188"/>
      <c r="DC124" s="182">
        <f>(DB124*$E124*$F124*$G124*$M124)</f>
        <v>0</v>
      </c>
      <c r="DD124" s="182"/>
      <c r="DE124" s="187">
        <f>(DD124*$E124*$F124*$G124*$M124)</f>
        <v>0</v>
      </c>
      <c r="DF124" s="182"/>
      <c r="DG124" s="182"/>
      <c r="DH124" s="189"/>
      <c r="DI124" s="182">
        <f>(DH124*$E124*$F124*$G124*$M124)</f>
        <v>0</v>
      </c>
      <c r="DJ124" s="182">
        <v>5</v>
      </c>
      <c r="DK124" s="182">
        <f>(DJ124*$E124*$F124*$G124*$M124)</f>
        <v>209414.01599999997</v>
      </c>
      <c r="DL124" s="182"/>
      <c r="DM124" s="182">
        <f>(DL124*$E124*$F124*$G124*$N124)</f>
        <v>0</v>
      </c>
      <c r="DN124" s="182"/>
      <c r="DO124" s="187">
        <f>(DN124*$E124*$F124*$G124*$O124)</f>
        <v>0</v>
      </c>
      <c r="DP124" s="187"/>
      <c r="DQ124" s="187"/>
      <c r="DR124" s="183">
        <f t="shared" si="488"/>
        <v>692</v>
      </c>
      <c r="DS124" s="183">
        <f t="shared" si="488"/>
        <v>25839618.650000002</v>
      </c>
      <c r="DT124" s="182">
        <v>716</v>
      </c>
      <c r="DU124" s="182">
        <v>26677274.714000002</v>
      </c>
      <c r="DV124" s="167">
        <f t="shared" si="319"/>
        <v>-24</v>
      </c>
      <c r="DW124" s="167">
        <f t="shared" si="319"/>
        <v>-837656.06399999931</v>
      </c>
    </row>
    <row r="125" spans="1:127" ht="15.75" customHeight="1" x14ac:dyDescent="0.25">
      <c r="A125" s="154"/>
      <c r="B125" s="176">
        <v>106</v>
      </c>
      <c r="C125" s="177" t="s">
        <v>339</v>
      </c>
      <c r="D125" s="210" t="s">
        <v>340</v>
      </c>
      <c r="E125" s="158">
        <v>25969</v>
      </c>
      <c r="F125" s="168">
        <v>2.2999999999999998</v>
      </c>
      <c r="G125" s="168">
        <v>1</v>
      </c>
      <c r="H125" s="169"/>
      <c r="I125" s="169"/>
      <c r="J125" s="169"/>
      <c r="K125" s="106"/>
      <c r="L125" s="180">
        <v>1.4</v>
      </c>
      <c r="M125" s="180">
        <v>1.68</v>
      </c>
      <c r="N125" s="180">
        <v>2.23</v>
      </c>
      <c r="O125" s="181">
        <v>2.57</v>
      </c>
      <c r="P125" s="182">
        <v>0</v>
      </c>
      <c r="Q125" s="182">
        <f>(P125*$E125*$F125*$G125*$L125*$Q$12)</f>
        <v>0</v>
      </c>
      <c r="R125" s="182"/>
      <c r="S125" s="182">
        <f>(R125*$E125*$F125*$G125*$L125*$S$12)</f>
        <v>0</v>
      </c>
      <c r="T125" s="182">
        <v>43</v>
      </c>
      <c r="U125" s="182">
        <f t="shared" ref="U125:U128" si="495">(T125/12*11*$E125*$F125*$G125*$L125*$U$12)+(T125/12*1*$E125*$F125*$G125*$L125*$U$14)</f>
        <v>4539530.5217499994</v>
      </c>
      <c r="V125" s="182"/>
      <c r="W125" s="183">
        <f t="shared" ref="W125:W128" si="496">(V125*$E125*$F125*$G125*$L125*$W$12)/12*10+(V125*$E125*$F125*$G125*$L125*$W$13)/12*1++(V125*$E125*$F125*$G125*$L125*$W$14)/12*1</f>
        <v>0</v>
      </c>
      <c r="X125" s="183"/>
      <c r="Y125" s="183">
        <v>0</v>
      </c>
      <c r="Z125" s="183"/>
      <c r="AA125" s="183">
        <v>0</v>
      </c>
      <c r="AB125" s="182">
        <f t="shared" ref="AB125:AC138" si="497">X125+Z125</f>
        <v>0</v>
      </c>
      <c r="AC125" s="182">
        <f t="shared" si="497"/>
        <v>0</v>
      </c>
      <c r="AD125" s="182"/>
      <c r="AE125" s="182">
        <f>(AD125*$E125*$F125*$G125*$L125*$AE$12)</f>
        <v>0</v>
      </c>
      <c r="AF125" s="182"/>
      <c r="AG125" s="182"/>
      <c r="AH125" s="182"/>
      <c r="AI125" s="182">
        <f>(AH125*$E125*$F125*$G125*$L125*$AI$12)</f>
        <v>0</v>
      </c>
      <c r="AJ125" s="182"/>
      <c r="AK125" s="182"/>
      <c r="AL125" s="182"/>
      <c r="AM125" s="182"/>
      <c r="AN125" s="184"/>
      <c r="AO125" s="182">
        <f>(AN125*$E125*$F125*$G125*$L125*$AO$12)</f>
        <v>0</v>
      </c>
      <c r="AP125" s="182"/>
      <c r="AQ125" s="183">
        <f>(AP125*$E125*$F125*$G125*$L125*$AQ$12)</f>
        <v>0</v>
      </c>
      <c r="AR125" s="182"/>
      <c r="AS125" s="182">
        <f t="shared" ref="AS125:AS128" si="498">(AR125*$E125*$F125*$G125*$L125*$AS$12)/12*10+(AR125*$E125*$F125*$G125*$L125*$AS$13)/12*1+(AR125*$E125*$F125*$G125*$L125*$AS$14)/12*1</f>
        <v>0</v>
      </c>
      <c r="AT125" s="182">
        <f>2-1</f>
        <v>1</v>
      </c>
      <c r="AU125" s="182">
        <f t="shared" ref="AU125:AU128" si="499">(AT125*$E125*$F125*$G125*$M125*$AU$12)/12*10+(AT125*$E125*$F125*$G125*$M125*$AU$13)/12+(AT125*$E125*$F125*$G125*$M125*$AU$14*$AU$15)/12</f>
        <v>115636.624346292</v>
      </c>
      <c r="AV125" s="188"/>
      <c r="AW125" s="182">
        <f>(AV125*$E125*$F125*$G125*$M125*$AW$12)</f>
        <v>0</v>
      </c>
      <c r="AX125" s="182"/>
      <c r="AY125" s="187">
        <f>(AX125*$E125*$F125*$G125*$M125*$AY$12)</f>
        <v>0</v>
      </c>
      <c r="AZ125" s="182"/>
      <c r="BA125" s="182">
        <f>(AZ125*$E125*$F125*$G125*$L125*$BA$12)</f>
        <v>0</v>
      </c>
      <c r="BB125" s="182">
        <v>0</v>
      </c>
      <c r="BC125" s="182">
        <f>(BB125*$E125*$F125*$G125*$L125*$BC$12)</f>
        <v>0</v>
      </c>
      <c r="BD125" s="182"/>
      <c r="BE125" s="182">
        <f>(BD125*$E125*$F125*$G125*$L125*$BE$12)</f>
        <v>0</v>
      </c>
      <c r="BF125" s="182"/>
      <c r="BG125" s="182">
        <f>(BF125*$E125*$F125*$G125*$L125*$BG$12)</f>
        <v>0</v>
      </c>
      <c r="BH125" s="182"/>
      <c r="BI125" s="183">
        <f>(BH125*$E125*$F125*$G125*$L125*$BI$12)</f>
        <v>0</v>
      </c>
      <c r="BJ125" s="182"/>
      <c r="BK125" s="183">
        <f>(BJ125*$E125*$F125*$G125*$L125*$BK$12)</f>
        <v>0</v>
      </c>
      <c r="BL125" s="182">
        <v>1</v>
      </c>
      <c r="BM125" s="182">
        <f t="shared" ref="BM125:BM128" si="500">(BL125/12*11*$E125*$F125*$G125*$L125*$BM$12)+(BL125/12*$E125*$F125*$G125*$L125*$BM$12*$BM$15)</f>
        <v>116723.56961803997</v>
      </c>
      <c r="BN125" s="182">
        <v>20</v>
      </c>
      <c r="BO125" s="182">
        <f>(BN125*$E125*$F125*$G125*$M125*$BO$12)</f>
        <v>2207572.7519999999</v>
      </c>
      <c r="BP125" s="182"/>
      <c r="BQ125" s="182">
        <f>(BP125*$E125*$F125*$G125*$M125*$BQ$12)</f>
        <v>0</v>
      </c>
      <c r="BR125" s="182"/>
      <c r="BS125" s="183">
        <f>(BR125*$E125*$F125*$G125*$M125*$BS$12)</f>
        <v>0</v>
      </c>
      <c r="BT125" s="182"/>
      <c r="BU125" s="182">
        <f>(BT125*$E125*$F125*$G125*$M125*$BU$12)</f>
        <v>0</v>
      </c>
      <c r="BV125" s="182"/>
      <c r="BW125" s="182">
        <f>(BV125*$E125*$F125*$G125*$M125*$BW$12)</f>
        <v>0</v>
      </c>
      <c r="BX125" s="182"/>
      <c r="BY125" s="183">
        <f>(BX125*$E125*$F125*$G125*$M125*$BY$12)</f>
        <v>0</v>
      </c>
      <c r="BZ125" s="182"/>
      <c r="CA125" s="187">
        <f>(BZ125*$E125*$F125*$G125*$M125*$CA$12)</f>
        <v>0</v>
      </c>
      <c r="CB125" s="182"/>
      <c r="CC125" s="182">
        <f>(CB125*$E125*$F125*$G125*$L125*$CC$12)</f>
        <v>0</v>
      </c>
      <c r="CD125" s="182"/>
      <c r="CE125" s="182">
        <f>(CD125*$E125*$F125*$G125*$L125*$CE$12)</f>
        <v>0</v>
      </c>
      <c r="CF125" s="182"/>
      <c r="CG125" s="182">
        <f>(CF125*$E125*$F125*$G125*$L125*$CG$12)</f>
        <v>0</v>
      </c>
      <c r="CH125" s="182"/>
      <c r="CI125" s="182">
        <f>(CH125*$E125*$F125*$G125*$M125*$CI$12)</f>
        <v>0</v>
      </c>
      <c r="CJ125" s="182"/>
      <c r="CK125" s="182"/>
      <c r="CL125" s="182"/>
      <c r="CM125" s="183">
        <f>(CL125*$E125*$F125*$G125*$L125*$CM$12)</f>
        <v>0</v>
      </c>
      <c r="CN125" s="182"/>
      <c r="CO125" s="183">
        <f>(CN125*$E125*$F125*$G125*$L125*$CO$12)</f>
        <v>0</v>
      </c>
      <c r="CP125" s="182"/>
      <c r="CQ125" s="182">
        <f>(CP125*$E125*$F125*$G125*$L125*$CQ$12)</f>
        <v>0</v>
      </c>
      <c r="CR125" s="182"/>
      <c r="CS125" s="182">
        <f>(CR125*$E125*$F125*$G125*$L125*$CS$12)</f>
        <v>0</v>
      </c>
      <c r="CT125" s="182"/>
      <c r="CU125" s="182">
        <f>(CT125*$E125*$F125*$G125*$L125*$CU$12)</f>
        <v>0</v>
      </c>
      <c r="CV125" s="182"/>
      <c r="CW125" s="182">
        <v>0</v>
      </c>
      <c r="CX125" s="182"/>
      <c r="CY125" s="182">
        <f>(CX125*$E125*$F125*$G125*$M125*$CY$12)</f>
        <v>0</v>
      </c>
      <c r="CZ125" s="182"/>
      <c r="DA125" s="182">
        <v>0</v>
      </c>
      <c r="DB125" s="188"/>
      <c r="DC125" s="182">
        <f>(DB125*$E125*$F125*$G125*$M125*$DC$12)</f>
        <v>0</v>
      </c>
      <c r="DD125" s="182"/>
      <c r="DE125" s="187">
        <f>(DD125*$E125*$F125*$G125*$M125*DE$12)</f>
        <v>0</v>
      </c>
      <c r="DF125" s="182"/>
      <c r="DG125" s="182">
        <f>(DF125*$E125*$F125*$G125*$M125*$DG$12)</f>
        <v>0</v>
      </c>
      <c r="DH125" s="189"/>
      <c r="DI125" s="182">
        <f>(DH125*$E125*$F125*$G125*$M125*$DI$12)</f>
        <v>0</v>
      </c>
      <c r="DJ125" s="182"/>
      <c r="DK125" s="182">
        <f>(DJ125*$E125*$F125*$G125*$M125*$DK$12)</f>
        <v>0</v>
      </c>
      <c r="DL125" s="182"/>
      <c r="DM125" s="182">
        <f>(DL125*$E125*$F125*$G125*$N125*$DM$12)</f>
        <v>0</v>
      </c>
      <c r="DN125" s="182"/>
      <c r="DO125" s="190">
        <f>(DN125*$E125*$F125*$G125*$O125*$DO$12)</f>
        <v>0</v>
      </c>
      <c r="DP125" s="187"/>
      <c r="DQ125" s="187"/>
      <c r="DR125" s="183">
        <f t="shared" si="488"/>
        <v>65</v>
      </c>
      <c r="DS125" s="183">
        <f t="shared" si="488"/>
        <v>6979463.4677143302</v>
      </c>
      <c r="DT125" s="182">
        <v>65</v>
      </c>
      <c r="DU125" s="182">
        <v>6915388.885999999</v>
      </c>
      <c r="DV125" s="167">
        <f t="shared" si="319"/>
        <v>0</v>
      </c>
      <c r="DW125" s="167">
        <f t="shared" si="319"/>
        <v>64074.581714331172</v>
      </c>
    </row>
    <row r="126" spans="1:127" ht="15.75" customHeight="1" x14ac:dyDescent="0.25">
      <c r="A126" s="154"/>
      <c r="B126" s="176">
        <v>107</v>
      </c>
      <c r="C126" s="177" t="s">
        <v>341</v>
      </c>
      <c r="D126" s="210" t="s">
        <v>342</v>
      </c>
      <c r="E126" s="158">
        <v>25969</v>
      </c>
      <c r="F126" s="179">
        <v>3.16</v>
      </c>
      <c r="G126" s="168">
        <v>1</v>
      </c>
      <c r="H126" s="169"/>
      <c r="I126" s="169"/>
      <c r="J126" s="169"/>
      <c r="K126" s="106"/>
      <c r="L126" s="180">
        <v>1.4</v>
      </c>
      <c r="M126" s="180">
        <v>1.68</v>
      </c>
      <c r="N126" s="180">
        <v>2.23</v>
      </c>
      <c r="O126" s="181">
        <v>2.57</v>
      </c>
      <c r="P126" s="182">
        <v>0</v>
      </c>
      <c r="Q126" s="182">
        <f>(P126*$E126*$F126*$G126*$L126*$Q$12)</f>
        <v>0</v>
      </c>
      <c r="R126" s="182"/>
      <c r="S126" s="182">
        <f>(R126*$E126*$F126*$G126*$L126*$S$12)</f>
        <v>0</v>
      </c>
      <c r="T126" s="182">
        <v>32</v>
      </c>
      <c r="U126" s="182">
        <f t="shared" si="495"/>
        <v>4641428.9823999992</v>
      </c>
      <c r="V126" s="182"/>
      <c r="W126" s="183">
        <f t="shared" si="496"/>
        <v>0</v>
      </c>
      <c r="X126" s="183"/>
      <c r="Y126" s="183">
        <v>0</v>
      </c>
      <c r="Z126" s="183"/>
      <c r="AA126" s="183">
        <v>0</v>
      </c>
      <c r="AB126" s="182">
        <f t="shared" si="497"/>
        <v>0</v>
      </c>
      <c r="AC126" s="182">
        <f t="shared" si="497"/>
        <v>0</v>
      </c>
      <c r="AD126" s="182"/>
      <c r="AE126" s="182">
        <f>(AD126*$E126*$F126*$G126*$L126*$AE$12)</f>
        <v>0</v>
      </c>
      <c r="AF126" s="182"/>
      <c r="AG126" s="182"/>
      <c r="AH126" s="182"/>
      <c r="AI126" s="182">
        <f>(AH126*$E126*$F126*$G126*$L126*$AI$12)</f>
        <v>0</v>
      </c>
      <c r="AJ126" s="182"/>
      <c r="AK126" s="182"/>
      <c r="AL126" s="182"/>
      <c r="AM126" s="182"/>
      <c r="AN126" s="184"/>
      <c r="AO126" s="182">
        <f>(AN126*$E126*$F126*$G126*$L126*$AO$12)</f>
        <v>0</v>
      </c>
      <c r="AP126" s="182"/>
      <c r="AQ126" s="183">
        <f>(AP126*$E126*$F126*$G126*$L126*$AQ$12)</f>
        <v>0</v>
      </c>
      <c r="AR126" s="182"/>
      <c r="AS126" s="182">
        <f t="shared" si="498"/>
        <v>0</v>
      </c>
      <c r="AT126" s="182"/>
      <c r="AU126" s="182">
        <f t="shared" si="499"/>
        <v>0</v>
      </c>
      <c r="AV126" s="188"/>
      <c r="AW126" s="182">
        <f>(AV126*$E126*$F126*$G126*$M126*$AW$12)</f>
        <v>0</v>
      </c>
      <c r="AX126" s="182"/>
      <c r="AY126" s="187">
        <f>(AX126*$E126*$F126*$G126*$M126*$AY$12)</f>
        <v>0</v>
      </c>
      <c r="AZ126" s="182"/>
      <c r="BA126" s="182">
        <f>(AZ126*$E126*$F126*$G126*$L126*$BA$12)</f>
        <v>0</v>
      </c>
      <c r="BB126" s="182">
        <v>0</v>
      </c>
      <c r="BC126" s="182">
        <f>(BB126*$E126*$F126*$G126*$L126*$BC$12)</f>
        <v>0</v>
      </c>
      <c r="BD126" s="182"/>
      <c r="BE126" s="182">
        <f>(BD126*$E126*$F126*$G126*$L126*$BE$12)</f>
        <v>0</v>
      </c>
      <c r="BF126" s="182"/>
      <c r="BG126" s="182">
        <f>(BF126*$E126*$F126*$G126*$L126*$BG$12)</f>
        <v>0</v>
      </c>
      <c r="BH126" s="182"/>
      <c r="BI126" s="183">
        <f>(BH126*$E126*$F126*$G126*$L126*$BI$12)</f>
        <v>0</v>
      </c>
      <c r="BJ126" s="182"/>
      <c r="BK126" s="183">
        <f>(BJ126*$E126*$F126*$G126*$L126*$BK$12)</f>
        <v>0</v>
      </c>
      <c r="BL126" s="182"/>
      <c r="BM126" s="182">
        <f t="shared" si="500"/>
        <v>0</v>
      </c>
      <c r="BN126" s="182">
        <v>5</v>
      </c>
      <c r="BO126" s="182">
        <f>(BN126*$E126*$F126*$G126*$M126*$BO$12)</f>
        <v>758253.24959999998</v>
      </c>
      <c r="BP126" s="182"/>
      <c r="BQ126" s="182">
        <f>(BP126*$E126*$F126*$G126*$M126*$BQ$12)</f>
        <v>0</v>
      </c>
      <c r="BR126" s="182"/>
      <c r="BS126" s="183">
        <f>(BR126*$E126*$F126*$G126*$M126*$BS$12)</f>
        <v>0</v>
      </c>
      <c r="BT126" s="182"/>
      <c r="BU126" s="182">
        <f>(BT126*$E126*$F126*$G126*$M126*$BU$12)</f>
        <v>0</v>
      </c>
      <c r="BV126" s="182"/>
      <c r="BW126" s="182">
        <f>(BV126*$E126*$F126*$G126*$M126*$BW$12)</f>
        <v>0</v>
      </c>
      <c r="BX126" s="182"/>
      <c r="BY126" s="183">
        <f>(BX126*$E126*$F126*$G126*$M126*$BY$12)</f>
        <v>0</v>
      </c>
      <c r="BZ126" s="182"/>
      <c r="CA126" s="187">
        <f>(BZ126*$E126*$F126*$G126*$M126*$CA$12)</f>
        <v>0</v>
      </c>
      <c r="CB126" s="182"/>
      <c r="CC126" s="182">
        <f>(CB126*$E126*$F126*$G126*$L126*$CC$12)</f>
        <v>0</v>
      </c>
      <c r="CD126" s="182"/>
      <c r="CE126" s="182">
        <f>(CD126*$E126*$F126*$G126*$L126*$CE$12)</f>
        <v>0</v>
      </c>
      <c r="CF126" s="182"/>
      <c r="CG126" s="182">
        <f>(CF126*$E126*$F126*$G126*$L126*$CG$12)</f>
        <v>0</v>
      </c>
      <c r="CH126" s="182"/>
      <c r="CI126" s="182">
        <f>(CH126*$E126*$F126*$G126*$M126*$CI$12)</f>
        <v>0</v>
      </c>
      <c r="CJ126" s="182"/>
      <c r="CK126" s="182"/>
      <c r="CL126" s="182"/>
      <c r="CM126" s="183">
        <f>(CL126*$E126*$F126*$G126*$L126*$CM$12)</f>
        <v>0</v>
      </c>
      <c r="CN126" s="182"/>
      <c r="CO126" s="183">
        <f>(CN126*$E126*$F126*$G126*$L126*$CO$12)</f>
        <v>0</v>
      </c>
      <c r="CP126" s="182"/>
      <c r="CQ126" s="182">
        <f>(CP126*$E126*$F126*$G126*$L126*$CQ$12)</f>
        <v>0</v>
      </c>
      <c r="CR126" s="182"/>
      <c r="CS126" s="182">
        <f>(CR126*$E126*$F126*$G126*$L126*$CS$12)</f>
        <v>0</v>
      </c>
      <c r="CT126" s="182"/>
      <c r="CU126" s="182">
        <f>(CT126*$E126*$F126*$G126*$L126*$CU$12)</f>
        <v>0</v>
      </c>
      <c r="CV126" s="182"/>
      <c r="CW126" s="182">
        <v>0</v>
      </c>
      <c r="CX126" s="182"/>
      <c r="CY126" s="182">
        <f>(CX126*$E126*$F126*$G126*$M126*$CY$12)</f>
        <v>0</v>
      </c>
      <c r="CZ126" s="182"/>
      <c r="DA126" s="182">
        <v>0</v>
      </c>
      <c r="DB126" s="188"/>
      <c r="DC126" s="182">
        <f>(DB126*$E126*$F126*$G126*$M126*$DC$12)</f>
        <v>0</v>
      </c>
      <c r="DD126" s="182"/>
      <c r="DE126" s="182"/>
      <c r="DF126" s="182"/>
      <c r="DG126" s="182">
        <f>(DF126*$E126*$F126*$G126*$M126*$DG$12)</f>
        <v>0</v>
      </c>
      <c r="DH126" s="189"/>
      <c r="DI126" s="182">
        <f>(DH126*$E126*$F126*$G126*$M126*$DI$12)</f>
        <v>0</v>
      </c>
      <c r="DJ126" s="182"/>
      <c r="DK126" s="182">
        <f>(DJ126*$E126*$F126*$G126*$M126*$DK$12)</f>
        <v>0</v>
      </c>
      <c r="DL126" s="182"/>
      <c r="DM126" s="182">
        <f>(DL126*$E126*$F126*$G126*$N126*$DM$12)</f>
        <v>0</v>
      </c>
      <c r="DN126" s="182"/>
      <c r="DO126" s="190">
        <f>(DN126*$E126*$F126*$G126*$O126*$DO$12)</f>
        <v>0</v>
      </c>
      <c r="DP126" s="187"/>
      <c r="DQ126" s="187"/>
      <c r="DR126" s="183">
        <f t="shared" si="488"/>
        <v>37</v>
      </c>
      <c r="DS126" s="183">
        <f t="shared" si="488"/>
        <v>5399682.2319999989</v>
      </c>
      <c r="DT126" s="182">
        <v>37</v>
      </c>
      <c r="DU126" s="182">
        <v>5353727.4896</v>
      </c>
      <c r="DV126" s="167">
        <f t="shared" si="319"/>
        <v>0</v>
      </c>
      <c r="DW126" s="167">
        <f t="shared" si="319"/>
        <v>45954.742399998941</v>
      </c>
    </row>
    <row r="127" spans="1:127" ht="15.75" customHeight="1" x14ac:dyDescent="0.25">
      <c r="A127" s="154"/>
      <c r="B127" s="176">
        <v>108</v>
      </c>
      <c r="C127" s="177" t="s">
        <v>343</v>
      </c>
      <c r="D127" s="210" t="s">
        <v>344</v>
      </c>
      <c r="E127" s="158">
        <v>25969</v>
      </c>
      <c r="F127" s="179">
        <v>4.84</v>
      </c>
      <c r="G127" s="168">
        <v>1</v>
      </c>
      <c r="H127" s="169"/>
      <c r="I127" s="169"/>
      <c r="J127" s="169"/>
      <c r="K127" s="106"/>
      <c r="L127" s="180">
        <v>1.4</v>
      </c>
      <c r="M127" s="180">
        <v>1.68</v>
      </c>
      <c r="N127" s="180">
        <v>2.23</v>
      </c>
      <c r="O127" s="181">
        <v>2.57</v>
      </c>
      <c r="P127" s="182">
        <v>0</v>
      </c>
      <c r="Q127" s="182">
        <f>(P127*$E127*$F127*$G127*$L127*$Q$12)</f>
        <v>0</v>
      </c>
      <c r="R127" s="182"/>
      <c r="S127" s="182">
        <f>(R127*$E127*$F127*$G127*$L127*$S$12)</f>
        <v>0</v>
      </c>
      <c r="T127" s="182">
        <v>1</v>
      </c>
      <c r="U127" s="182">
        <f t="shared" si="495"/>
        <v>222157.00429999994</v>
      </c>
      <c r="V127" s="182"/>
      <c r="W127" s="183">
        <f t="shared" si="496"/>
        <v>0</v>
      </c>
      <c r="X127" s="183"/>
      <c r="Y127" s="183">
        <v>0</v>
      </c>
      <c r="Z127" s="183"/>
      <c r="AA127" s="183">
        <v>0</v>
      </c>
      <c r="AB127" s="182">
        <f t="shared" si="497"/>
        <v>0</v>
      </c>
      <c r="AC127" s="182">
        <f t="shared" si="497"/>
        <v>0</v>
      </c>
      <c r="AD127" s="182"/>
      <c r="AE127" s="182">
        <f>(AD127*$E127*$F127*$G127*$L127*$AE$12)</f>
        <v>0</v>
      </c>
      <c r="AF127" s="182"/>
      <c r="AG127" s="182"/>
      <c r="AH127" s="182"/>
      <c r="AI127" s="182">
        <f>(AH127*$E127*$F127*$G127*$L127*$AI$12)</f>
        <v>0</v>
      </c>
      <c r="AJ127" s="182"/>
      <c r="AK127" s="182"/>
      <c r="AL127" s="182"/>
      <c r="AM127" s="182"/>
      <c r="AN127" s="184"/>
      <c r="AO127" s="182">
        <f>(AN127*$E127*$F127*$G127*$L127*$AO$12)</f>
        <v>0</v>
      </c>
      <c r="AP127" s="182"/>
      <c r="AQ127" s="183">
        <f>(AP127*$E127*$F127*$G127*$L127*$AQ$12)</f>
        <v>0</v>
      </c>
      <c r="AR127" s="182"/>
      <c r="AS127" s="182">
        <f t="shared" si="498"/>
        <v>0</v>
      </c>
      <c r="AT127" s="182"/>
      <c r="AU127" s="182">
        <f t="shared" si="499"/>
        <v>0</v>
      </c>
      <c r="AV127" s="188"/>
      <c r="AW127" s="182">
        <f>(AV127*$E127*$F127*$G127*$M127*$AW$12)</f>
        <v>0</v>
      </c>
      <c r="AX127" s="182"/>
      <c r="AY127" s="187">
        <f>(AX127*$E127*$F127*$G127*$M127*$AY$12)</f>
        <v>0</v>
      </c>
      <c r="AZ127" s="182"/>
      <c r="BA127" s="182">
        <f>(AZ127*$E127*$F127*$G127*$L127*$BA$12)</f>
        <v>0</v>
      </c>
      <c r="BB127" s="182">
        <v>0</v>
      </c>
      <c r="BC127" s="182">
        <f>(BB127*$E127*$F127*$G127*$L127*$BC$12)</f>
        <v>0</v>
      </c>
      <c r="BD127" s="182"/>
      <c r="BE127" s="182">
        <f>(BD127*$E127*$F127*$G127*$L127*$BE$12)</f>
        <v>0</v>
      </c>
      <c r="BF127" s="182"/>
      <c r="BG127" s="182">
        <f>(BF127*$E127*$F127*$G127*$L127*$BG$12)</f>
        <v>0</v>
      </c>
      <c r="BH127" s="182"/>
      <c r="BI127" s="183">
        <f>(BH127*$E127*$F127*$G127*$L127*$BI$12)</f>
        <v>0</v>
      </c>
      <c r="BJ127" s="182"/>
      <c r="BK127" s="183">
        <f>(BJ127*$E127*$F127*$G127*$L127*$BK$12)</f>
        <v>0</v>
      </c>
      <c r="BL127" s="182"/>
      <c r="BM127" s="182">
        <f t="shared" si="500"/>
        <v>0</v>
      </c>
      <c r="BN127" s="182"/>
      <c r="BO127" s="182">
        <f>(BN127*$E127*$F127*$G127*$M127*$BO$12)</f>
        <v>0</v>
      </c>
      <c r="BP127" s="182"/>
      <c r="BQ127" s="182">
        <f>(BP127*$E127*$F127*$G127*$M127*$BQ$12)</f>
        <v>0</v>
      </c>
      <c r="BR127" s="182"/>
      <c r="BS127" s="183">
        <f>(BR127*$E127*$F127*$G127*$M127*$BS$12)</f>
        <v>0</v>
      </c>
      <c r="BT127" s="182"/>
      <c r="BU127" s="182">
        <f>(BT127*$E127*$F127*$G127*$M127*$BU$12)</f>
        <v>0</v>
      </c>
      <c r="BV127" s="182"/>
      <c r="BW127" s="182">
        <f>(BV127*$E127*$F127*$G127*$M127*$BW$12)</f>
        <v>0</v>
      </c>
      <c r="BX127" s="182"/>
      <c r="BY127" s="183">
        <f>(BX127*$E127*$F127*$G127*$M127*$BY$12)</f>
        <v>0</v>
      </c>
      <c r="BZ127" s="182"/>
      <c r="CA127" s="187">
        <f>(BZ127*$E127*$F127*$G127*$M127*$CA$12)</f>
        <v>0</v>
      </c>
      <c r="CB127" s="182"/>
      <c r="CC127" s="182">
        <f>(CB127*$E127*$F127*$G127*$L127*$CC$12)</f>
        <v>0</v>
      </c>
      <c r="CD127" s="182"/>
      <c r="CE127" s="182">
        <f>(CD127*$E127*$F127*$G127*$L127*$CE$12)</f>
        <v>0</v>
      </c>
      <c r="CF127" s="182"/>
      <c r="CG127" s="182">
        <f>(CF127*$E127*$F127*$G127*$L127*$CG$12)</f>
        <v>0</v>
      </c>
      <c r="CH127" s="182"/>
      <c r="CI127" s="182">
        <f>(CH127*$E127*$F127*$G127*$M127*$CI$12)</f>
        <v>0</v>
      </c>
      <c r="CJ127" s="182"/>
      <c r="CK127" s="182"/>
      <c r="CL127" s="182"/>
      <c r="CM127" s="183">
        <f>(CL127*$E127*$F127*$G127*$L127*$CM$12)</f>
        <v>0</v>
      </c>
      <c r="CN127" s="182"/>
      <c r="CO127" s="183">
        <f>(CN127*$E127*$F127*$G127*$L127*$CO$12)</f>
        <v>0</v>
      </c>
      <c r="CP127" s="182"/>
      <c r="CQ127" s="182">
        <f>(CP127*$E127*$F127*$G127*$L127*$CQ$12)</f>
        <v>0</v>
      </c>
      <c r="CR127" s="182"/>
      <c r="CS127" s="182">
        <f>(CR127*$E127*$F127*$G127*$L127*$CS$12)</f>
        <v>0</v>
      </c>
      <c r="CT127" s="182"/>
      <c r="CU127" s="182">
        <f>(CT127*$E127*$F127*$G127*$L127*$CU$12)</f>
        <v>0</v>
      </c>
      <c r="CV127" s="182"/>
      <c r="CW127" s="182">
        <v>0</v>
      </c>
      <c r="CX127" s="182"/>
      <c r="CY127" s="182">
        <f>(CX127*$E127*$F127*$G127*$M127*$CY$12)</f>
        <v>0</v>
      </c>
      <c r="CZ127" s="182"/>
      <c r="DA127" s="182">
        <v>0</v>
      </c>
      <c r="DB127" s="188"/>
      <c r="DC127" s="182">
        <f>(DB127*$E127*$F127*$G127*$M127*$DC$12)</f>
        <v>0</v>
      </c>
      <c r="DD127" s="182"/>
      <c r="DE127" s="182"/>
      <c r="DF127" s="182"/>
      <c r="DG127" s="182">
        <f>(DF127*$E127*$F127*$G127*$M127*$DG$12)</f>
        <v>0</v>
      </c>
      <c r="DH127" s="189"/>
      <c r="DI127" s="182">
        <f>(DH127*$E127*$F127*$G127*$M127*$DI$12)</f>
        <v>0</v>
      </c>
      <c r="DJ127" s="182"/>
      <c r="DK127" s="182">
        <f>(DJ127*$E127*$F127*$G127*$M127*$DK$12)</f>
        <v>0</v>
      </c>
      <c r="DL127" s="182"/>
      <c r="DM127" s="182">
        <f>(DL127*$E127*$F127*$G127*$N127*$DM$12)</f>
        <v>0</v>
      </c>
      <c r="DN127" s="182"/>
      <c r="DO127" s="190">
        <f>(DN127*$E127*$F127*$G127*$O127*$DO$12)</f>
        <v>0</v>
      </c>
      <c r="DP127" s="187"/>
      <c r="DQ127" s="187"/>
      <c r="DR127" s="183">
        <f t="shared" si="488"/>
        <v>1</v>
      </c>
      <c r="DS127" s="183">
        <f t="shared" si="488"/>
        <v>222157.00429999994</v>
      </c>
      <c r="DT127" s="182">
        <v>1</v>
      </c>
      <c r="DU127" s="182">
        <v>219957.43</v>
      </c>
      <c r="DV127" s="167">
        <f t="shared" si="319"/>
        <v>0</v>
      </c>
      <c r="DW127" s="167">
        <f t="shared" si="319"/>
        <v>2199.5742999999493</v>
      </c>
    </row>
    <row r="128" spans="1:127" ht="30" customHeight="1" x14ac:dyDescent="0.25">
      <c r="A128" s="154"/>
      <c r="B128" s="176">
        <v>95</v>
      </c>
      <c r="C128" s="177" t="s">
        <v>345</v>
      </c>
      <c r="D128" s="210" t="s">
        <v>346</v>
      </c>
      <c r="E128" s="158">
        <v>25969</v>
      </c>
      <c r="F128" s="179">
        <v>1.02</v>
      </c>
      <c r="G128" s="168">
        <v>1</v>
      </c>
      <c r="H128" s="169"/>
      <c r="I128" s="169"/>
      <c r="J128" s="169"/>
      <c r="K128" s="106"/>
      <c r="L128" s="180">
        <v>1.4</v>
      </c>
      <c r="M128" s="180">
        <v>1.68</v>
      </c>
      <c r="N128" s="180">
        <v>2.23</v>
      </c>
      <c r="O128" s="181">
        <v>2.57</v>
      </c>
      <c r="P128" s="182">
        <v>38</v>
      </c>
      <c r="Q128" s="182">
        <f>(P128*$E128*$F128*$G128*$L128*$Q$12)</f>
        <v>1550099.9976000004</v>
      </c>
      <c r="R128" s="182">
        <v>115</v>
      </c>
      <c r="S128" s="182">
        <f>(R128*$E128*$F128*$G128*$L128*$S$12)</f>
        <v>4691092.0980000002</v>
      </c>
      <c r="T128" s="182">
        <f>24+4</f>
        <v>28</v>
      </c>
      <c r="U128" s="182">
        <f t="shared" si="495"/>
        <v>1310909.9261999999</v>
      </c>
      <c r="V128" s="182"/>
      <c r="W128" s="183">
        <f t="shared" si="496"/>
        <v>0</v>
      </c>
      <c r="X128" s="183"/>
      <c r="Y128" s="183">
        <v>0</v>
      </c>
      <c r="Z128" s="183"/>
      <c r="AA128" s="183">
        <v>0</v>
      </c>
      <c r="AB128" s="182">
        <f t="shared" si="497"/>
        <v>0</v>
      </c>
      <c r="AC128" s="182">
        <f t="shared" si="497"/>
        <v>0</v>
      </c>
      <c r="AD128" s="182"/>
      <c r="AE128" s="182">
        <f>(AD128*$E128*$F128*$G128*$L128*$AE$12)</f>
        <v>0</v>
      </c>
      <c r="AF128" s="182"/>
      <c r="AG128" s="182"/>
      <c r="AH128" s="182">
        <v>87</v>
      </c>
      <c r="AI128" s="182">
        <f>(AH128*$E128*$F128*$G128*$L128*$AI$12)</f>
        <v>3548913.1524</v>
      </c>
      <c r="AJ128" s="182"/>
      <c r="AK128" s="182"/>
      <c r="AL128" s="182"/>
      <c r="AM128" s="182"/>
      <c r="AN128" s="184"/>
      <c r="AO128" s="182">
        <f>(AN128*$E128*$F128*$G128*$L128*$AO$12)</f>
        <v>0</v>
      </c>
      <c r="AP128" s="182">
        <v>2</v>
      </c>
      <c r="AQ128" s="183">
        <f>(AP128*$E128*$F128*$G128*$L128*$AQ$12)</f>
        <v>81584.210399999996</v>
      </c>
      <c r="AR128" s="182"/>
      <c r="AS128" s="182">
        <f t="shared" si="498"/>
        <v>0</v>
      </c>
      <c r="AT128" s="182">
        <f>10-1</f>
        <v>9</v>
      </c>
      <c r="AU128" s="182">
        <f t="shared" si="499"/>
        <v>461540.96152128722</v>
      </c>
      <c r="AV128" s="188"/>
      <c r="AW128" s="182">
        <f>(AV128*$E128*$F128*$G128*$M128*$AW$12)</f>
        <v>0</v>
      </c>
      <c r="AX128" s="182">
        <v>6</v>
      </c>
      <c r="AY128" s="187">
        <f>(AX128*$E128*$F128*$G128*$M128*$AY$12)</f>
        <v>293703.15744000004</v>
      </c>
      <c r="AZ128" s="182"/>
      <c r="BA128" s="182">
        <f>(AZ128*$E128*$F128*$G128*$L128*$BA$12)</f>
        <v>0</v>
      </c>
      <c r="BB128" s="182">
        <v>0</v>
      </c>
      <c r="BC128" s="182">
        <f>(BB128*$E128*$F128*$G128*$L128*$BC$12)</f>
        <v>0</v>
      </c>
      <c r="BD128" s="182"/>
      <c r="BE128" s="182">
        <f>(BD128*$E128*$F128*$G128*$L128*$BE$12)</f>
        <v>0</v>
      </c>
      <c r="BF128" s="182"/>
      <c r="BG128" s="182">
        <f>(BF128*$E128*$F128*$G128*$L128*$BG$12)</f>
        <v>0</v>
      </c>
      <c r="BH128" s="182"/>
      <c r="BI128" s="183">
        <f>(BH128*$E128*$F128*$G128*$L128*$BI$12)</f>
        <v>0</v>
      </c>
      <c r="BJ128" s="182"/>
      <c r="BK128" s="183">
        <f>(BJ128*$E128*$F128*$G128*$L128*$BK$12)</f>
        <v>0</v>
      </c>
      <c r="BL128" s="182">
        <v>6</v>
      </c>
      <c r="BM128" s="182">
        <f t="shared" si="500"/>
        <v>310586.19394017593</v>
      </c>
      <c r="BN128" s="182">
        <v>471</v>
      </c>
      <c r="BO128" s="182">
        <f>(BN128*$E128*$F128*$G128*$M128*$BO$12)</f>
        <v>23055697.859040003</v>
      </c>
      <c r="BP128" s="182">
        <v>5</v>
      </c>
      <c r="BQ128" s="182">
        <f>(BP128/12*11*$E128*$F128*$G128*$M128*$BQ$12)+(BP128/12*$E128*$F128*$G128*$M128*$BQ$14*$BQ$15)</f>
        <v>239294.46210558002</v>
      </c>
      <c r="BR128" s="182"/>
      <c r="BS128" s="183">
        <f>(BR128*$E128*$F128*$G128*$M128*$BS$12)</f>
        <v>0</v>
      </c>
      <c r="BT128" s="182">
        <v>4</v>
      </c>
      <c r="BU128" s="182">
        <f t="shared" ref="BU128" si="501">(BT128*$E128*$F128*$G128*$M128*$BU$12)/12*10+(BT128*$E128*$F128*$G128*$M128*$BU$13)/12+(BT128*$E128*$F128*$G128*$M128*$BU$13*$BU$15)/12</f>
        <v>198294.3690862848</v>
      </c>
      <c r="BV128" s="182">
        <v>3</v>
      </c>
      <c r="BW128" s="182">
        <f>(BV128*$E128*$F128*$G128*$M128*$BW$12)</f>
        <v>120151.29168000001</v>
      </c>
      <c r="BX128" s="182">
        <v>6</v>
      </c>
      <c r="BY128" s="183">
        <f t="shared" ref="BY128" si="502">(BX128*$E128*$F128*$G128*$M128*$BY$12)/12*11+(BX128*$E128*$F128*$G128*$M128*$BY$12*$BY$15)/12</f>
        <v>360101.43125107198</v>
      </c>
      <c r="BZ128" s="182">
        <v>35</v>
      </c>
      <c r="CA128" s="187">
        <f t="shared" ref="CA128" si="503">(BZ128*$E128*$F128*$G128*$M128*$CA$12)/12*11+(BZ128*$E128*$F128*$G128*$M128*$CA$12*$CA$15)/12</f>
        <v>2035557.5706521999</v>
      </c>
      <c r="CB128" s="182"/>
      <c r="CC128" s="182">
        <f>(CB128*$E128*$F128*$G128*$L128*$CC$12)</f>
        <v>0</v>
      </c>
      <c r="CD128" s="182"/>
      <c r="CE128" s="182">
        <f>(CD128*$E128*$F128*$G128*$L128*$CE$12)</f>
        <v>0</v>
      </c>
      <c r="CF128" s="182"/>
      <c r="CG128" s="182">
        <f>(CF128*$E128*$F128*$G128*$L128*$CG$12)</f>
        <v>0</v>
      </c>
      <c r="CH128" s="182">
        <v>94</v>
      </c>
      <c r="CI128" s="182">
        <f t="shared" ref="CI128" si="504">(CH128*$E128*$F128*$G128*$M128*$CI$12)/12*11+(CH128*$E128*$F128*$G128*$M128*$CI$12*$CI$15)/12</f>
        <v>4661731.7206961773</v>
      </c>
      <c r="CJ128" s="182"/>
      <c r="CK128" s="182"/>
      <c r="CL128" s="182"/>
      <c r="CM128" s="183">
        <f>(CL128*$E128*$F128*$G128*$L128*$CM$12)</f>
        <v>0</v>
      </c>
      <c r="CN128" s="182"/>
      <c r="CO128" s="183">
        <f>(CN128*$E128*$F128*$G128*$L128*$CO$12)</f>
        <v>0</v>
      </c>
      <c r="CP128" s="182">
        <v>30</v>
      </c>
      <c r="CQ128" s="182">
        <f>(CP128*$E128*$F128*$G128*$L128*$CQ$12)/12*11+(CP128*$E128*$F128*$G128*$L128*$CQ$12*$CQ$15)/12</f>
        <v>1233019.2555072</v>
      </c>
      <c r="CR128" s="182">
        <v>22</v>
      </c>
      <c r="CS128" s="182">
        <f t="shared" ref="CS128" si="505">(CR128*$E128*$F128*$G128*$L128*$CS$12)/12*10+(CR128*$E128*$F128*$G128*$L128*$CS$13)/12+(CR128*$E128*$F128*$G128*$L128*$CS$13*$CS$15)/12</f>
        <v>978087.26348563982</v>
      </c>
      <c r="CT128" s="182">
        <v>8</v>
      </c>
      <c r="CU128" s="182">
        <f t="shared" ref="CU128" si="506">(CT128*$E128*$F128*$G128*$L128*$CU$12)/12*11+(CT128*$E128*$F128*$G128*$L128*$CU$12*$CU$15)/12</f>
        <v>311441.04813023994</v>
      </c>
      <c r="CV128" s="182">
        <v>24</v>
      </c>
      <c r="CW128" s="182">
        <v>1056886.3999999999</v>
      </c>
      <c r="CX128" s="182"/>
      <c r="CY128" s="182">
        <f>(CX128*$E128*$F128*$G128*$M128*$CY$12)</f>
        <v>0</v>
      </c>
      <c r="CZ128" s="182">
        <v>99</v>
      </c>
      <c r="DA128" s="182">
        <v>4405547.5200000005</v>
      </c>
      <c r="DB128" s="188"/>
      <c r="DC128" s="182">
        <f>(DB128*$E128*$F128*$G128*$M128*$DC$12)</f>
        <v>0</v>
      </c>
      <c r="DD128" s="182"/>
      <c r="DE128" s="187">
        <f>(DD128*$E128*$F128*$G128*$M128*DE$12)</f>
        <v>0</v>
      </c>
      <c r="DF128" s="182"/>
      <c r="DG128" s="182">
        <f>(DF128*$E128*$F128*$G128*$M128*$DG$12)</f>
        <v>0</v>
      </c>
      <c r="DH128" s="189"/>
      <c r="DI128" s="182">
        <f>(DH128*$E128*$F128*$G128*$M128*$DI$12)</f>
        <v>0</v>
      </c>
      <c r="DJ128" s="182">
        <v>6</v>
      </c>
      <c r="DK128" s="182">
        <f>(DJ128/12*11*$E128*$F128*$G128*$M128*$DK$12)+(DJ128/12*1*$E128*$F128*$M128*$G128*$DK$12*$DK$15)</f>
        <v>290950.80285095994</v>
      </c>
      <c r="DL128" s="182"/>
      <c r="DM128" s="182">
        <f>(DL128*$E128*$F128*$G128*$N128*$DM$12)</f>
        <v>0</v>
      </c>
      <c r="DN128" s="182">
        <f>ROUND(5*0.75,0)</f>
        <v>4</v>
      </c>
      <c r="DO128" s="190">
        <f>(DN128*$E128*$F128*$G128*$O128*$DO$12)</f>
        <v>272300.54639999999</v>
      </c>
      <c r="DP128" s="187"/>
      <c r="DQ128" s="187"/>
      <c r="DR128" s="183">
        <f t="shared" si="488"/>
        <v>1102</v>
      </c>
      <c r="DS128" s="183">
        <f t="shared" si="488"/>
        <v>51467491.238386832</v>
      </c>
      <c r="DT128" s="182">
        <v>1077</v>
      </c>
      <c r="DU128" s="182">
        <v>49369802.173960008</v>
      </c>
      <c r="DV128" s="167">
        <f t="shared" si="319"/>
        <v>25</v>
      </c>
      <c r="DW128" s="167">
        <f t="shared" si="319"/>
        <v>2097689.0644268245</v>
      </c>
    </row>
    <row r="129" spans="1:127" ht="30" x14ac:dyDescent="0.25">
      <c r="A129" s="154"/>
      <c r="B129" s="176">
        <v>96</v>
      </c>
      <c r="C129" s="177" t="s">
        <v>347</v>
      </c>
      <c r="D129" s="178" t="s">
        <v>348</v>
      </c>
      <c r="E129" s="158">
        <v>25969</v>
      </c>
      <c r="F129" s="179">
        <v>1.43</v>
      </c>
      <c r="G129" s="168">
        <v>1</v>
      </c>
      <c r="H129" s="169"/>
      <c r="I129" s="169"/>
      <c r="J129" s="169"/>
      <c r="K129" s="106"/>
      <c r="L129" s="255">
        <v>1.4</v>
      </c>
      <c r="M129" s="255">
        <v>1.68</v>
      </c>
      <c r="N129" s="255">
        <v>2.23</v>
      </c>
      <c r="O129" s="256">
        <v>2.57</v>
      </c>
      <c r="P129" s="182">
        <v>15</v>
      </c>
      <c r="Q129" s="182">
        <f t="shared" ref="Q129:Q130" si="507">(P129*$E129*$F129*$G129*$L129)</f>
        <v>779849.06999999983</v>
      </c>
      <c r="R129" s="182"/>
      <c r="S129" s="187">
        <f t="shared" ref="S129:S130" si="508">(R129*$E129*$F129*$G129*$L129)</f>
        <v>0</v>
      </c>
      <c r="T129" s="182"/>
      <c r="U129" s="182">
        <f t="shared" ref="U129:U130" si="509">(T129*$E129*$F129*$G129*$L129)</f>
        <v>0</v>
      </c>
      <c r="V129" s="182"/>
      <c r="W129" s="182">
        <f t="shared" ref="W129:W130" si="510">(V129*$E129*$F129*$G129*$L129)</f>
        <v>0</v>
      </c>
      <c r="X129" s="182"/>
      <c r="Y129" s="182">
        <v>0</v>
      </c>
      <c r="Z129" s="182"/>
      <c r="AA129" s="182">
        <v>0</v>
      </c>
      <c r="AB129" s="182">
        <f t="shared" si="497"/>
        <v>0</v>
      </c>
      <c r="AC129" s="182">
        <f t="shared" si="497"/>
        <v>0</v>
      </c>
      <c r="AD129" s="182"/>
      <c r="AE129" s="182">
        <f t="shared" ref="AE129:AE130" si="511">(AD129*$E129*$F129*$G129*$L129)</f>
        <v>0</v>
      </c>
      <c r="AF129" s="182"/>
      <c r="AG129" s="182"/>
      <c r="AH129" s="182">
        <v>75</v>
      </c>
      <c r="AI129" s="182">
        <f t="shared" ref="AI129:AI130" si="512">(AH129*$E129*$F129*$G129*$L129)</f>
        <v>3899245.3499999996</v>
      </c>
      <c r="AJ129" s="182"/>
      <c r="AK129" s="182"/>
      <c r="AL129" s="182"/>
      <c r="AM129" s="182"/>
      <c r="AN129" s="184"/>
      <c r="AO129" s="182">
        <f t="shared" ref="AO129:AO130" si="513">(AN129*$E129*$F129*$G129*$L129)</f>
        <v>0</v>
      </c>
      <c r="AP129" s="182"/>
      <c r="AQ129" s="182">
        <f t="shared" ref="AQ129:AQ130" si="514">(AP129*$E129*$F129*$G129*$L129)</f>
        <v>0</v>
      </c>
      <c r="AR129" s="182"/>
      <c r="AS129" s="182">
        <f t="shared" ref="AS129:AS130" si="515">(AR129*$E129*$F129*$G129*$L129)</f>
        <v>0</v>
      </c>
      <c r="AT129" s="182"/>
      <c r="AU129" s="183">
        <f t="shared" ref="AU129:AU130" si="516">(AT129*$E129*$F129*$G129*$M129)</f>
        <v>0</v>
      </c>
      <c r="AV129" s="188"/>
      <c r="AW129" s="182">
        <f t="shared" ref="AW129:AW130" si="517">(AV129*$E129*$F129*$G129*$M129)</f>
        <v>0</v>
      </c>
      <c r="AX129" s="182"/>
      <c r="AY129" s="187">
        <f t="shared" ref="AY129:AY130" si="518">(AX129*$E129*$F129*$G129*$M129)</f>
        <v>0</v>
      </c>
      <c r="AZ129" s="182"/>
      <c r="BA129" s="182">
        <f>(AZ129*$E129*$F129*$G129*$L129*$AO$12)</f>
        <v>0</v>
      </c>
      <c r="BB129" s="182">
        <v>0</v>
      </c>
      <c r="BC129" s="182">
        <f t="shared" ref="BC129:BC130" si="519">(BB129*$E129*$F129*$G129*$L129*BC$12)</f>
        <v>0</v>
      </c>
      <c r="BD129" s="182"/>
      <c r="BE129" s="182">
        <f>(BD129*$E129*$F129*$G129*$L129*BE$12)</f>
        <v>0</v>
      </c>
      <c r="BF129" s="182"/>
      <c r="BG129" s="182">
        <f t="shared" ref="BG129:BG130" si="520">(BF129*$E129*$F129*$G129*$L129)</f>
        <v>0</v>
      </c>
      <c r="BH129" s="182"/>
      <c r="BI129" s="182">
        <f t="shared" ref="BI129:BI130" si="521">(BH129*$E129*$F129*$G129*$L129)</f>
        <v>0</v>
      </c>
      <c r="BJ129" s="182"/>
      <c r="BK129" s="182"/>
      <c r="BL129" s="182"/>
      <c r="BM129" s="182">
        <f t="shared" ref="BM129:BM130" si="522">(BL129*$E129*$F129*$G129*$L129)</f>
        <v>0</v>
      </c>
      <c r="BN129" s="182">
        <v>3</v>
      </c>
      <c r="BO129" s="182">
        <f t="shared" ref="BO129:BO130" si="523">(BN129*$E129*$F129*$G129*$M129)</f>
        <v>187163.77679999999</v>
      </c>
      <c r="BP129" s="182"/>
      <c r="BQ129" s="182">
        <f t="shared" ref="BQ129:BQ130" si="524">(BP129*$E129*$F129*$G129*$M129)</f>
        <v>0</v>
      </c>
      <c r="BR129" s="182"/>
      <c r="BS129" s="182">
        <f t="shared" ref="BS129:BS130" si="525">(BR129*$E129*$F129*$G129*$M129)</f>
        <v>0</v>
      </c>
      <c r="BT129" s="182"/>
      <c r="BU129" s="182">
        <f t="shared" ref="BU129:BU130" si="526">(BT129*$E129*$F129*$G129*$M129)</f>
        <v>0</v>
      </c>
      <c r="BV129" s="182"/>
      <c r="BW129" s="182">
        <f t="shared" ref="BW129:BW130" si="527">(BV129*$E129*$F129*$G129*$M129)</f>
        <v>0</v>
      </c>
      <c r="BX129" s="182"/>
      <c r="BY129" s="182">
        <f t="shared" ref="BY129:BY130" si="528">(BX129*$E129*$F129*$G129*$M129)</f>
        <v>0</v>
      </c>
      <c r="BZ129" s="182"/>
      <c r="CA129" s="187">
        <f t="shared" ref="CA129:CA130" si="529">(BZ129*$E129*$F129*$G129*$M129)</f>
        <v>0</v>
      </c>
      <c r="CB129" s="182"/>
      <c r="CC129" s="182">
        <f t="shared" ref="CC129:CC130" si="530">(CB129*$E129*$F129*$G129*$L129)</f>
        <v>0</v>
      </c>
      <c r="CD129" s="182"/>
      <c r="CE129" s="183">
        <f t="shared" ref="CE129:CE130" si="531">(CD129*$E129*$F129*$G129*$L129)</f>
        <v>0</v>
      </c>
      <c r="CF129" s="182"/>
      <c r="CG129" s="182">
        <f t="shared" ref="CG129:CG130" si="532">(CF129*$E129*$F129*$G129*$L129)</f>
        <v>0</v>
      </c>
      <c r="CH129" s="182"/>
      <c r="CI129" s="182">
        <f t="shared" ref="CI129:CI130" si="533">(CH129*$E129*$F129*$G129*$M129)</f>
        <v>0</v>
      </c>
      <c r="CJ129" s="182"/>
      <c r="CK129" s="182"/>
      <c r="CL129" s="182"/>
      <c r="CM129" s="182">
        <f t="shared" ref="CM129:CM130" si="534">(CL129*$E129*$F129*$G129*$L129)</f>
        <v>0</v>
      </c>
      <c r="CN129" s="182"/>
      <c r="CO129" s="182">
        <f t="shared" ref="CO129:CO130" si="535">(CN129*$E129*$F129*$G129*$L129)</f>
        <v>0</v>
      </c>
      <c r="CP129" s="182"/>
      <c r="CQ129" s="182">
        <f t="shared" ref="CQ129:CQ130" si="536">(CP129*$E129*$F129*$G129*$L129)</f>
        <v>0</v>
      </c>
      <c r="CR129" s="182"/>
      <c r="CS129" s="182">
        <f t="shared" ref="CS129:CS130" si="537">(CR129*$E129*$F129*$G129*$L129)</f>
        <v>0</v>
      </c>
      <c r="CT129" s="182"/>
      <c r="CU129" s="182">
        <f t="shared" ref="CU129:CU130" si="538">(CT129*$E129*$F129*$G129*$L129)</f>
        <v>0</v>
      </c>
      <c r="CV129" s="182"/>
      <c r="CW129" s="182">
        <v>0</v>
      </c>
      <c r="CX129" s="182"/>
      <c r="CY129" s="182">
        <f t="shared" ref="CY129:CY130" si="539">(CX129*$E129*$F129*$G129*$M129)</f>
        <v>0</v>
      </c>
      <c r="CZ129" s="182">
        <v>5</v>
      </c>
      <c r="DA129" s="182">
        <v>311939.65000000002</v>
      </c>
      <c r="DB129" s="188"/>
      <c r="DC129" s="182">
        <f t="shared" ref="DC129:DC130" si="540">(DB129*$E129*$F129*$G129*$M129)</f>
        <v>0</v>
      </c>
      <c r="DD129" s="182"/>
      <c r="DE129" s="187">
        <f t="shared" ref="DE129:DE130" si="541">(DD129*$E129*$F129*$G129*$M129)</f>
        <v>0</v>
      </c>
      <c r="DF129" s="182"/>
      <c r="DG129" s="182"/>
      <c r="DH129" s="189"/>
      <c r="DI129" s="182">
        <f t="shared" ref="DI129:DI130" si="542">(DH129*$E129*$F129*$G129*$M129)</f>
        <v>0</v>
      </c>
      <c r="DJ129" s="182"/>
      <c r="DK129" s="182">
        <f t="shared" ref="DK129:DK130" si="543">(DJ129*$E129*$F129*$G129*$M129)</f>
        <v>0</v>
      </c>
      <c r="DL129" s="182"/>
      <c r="DM129" s="182">
        <f t="shared" ref="DM129:DM130" si="544">(DL129*$E129*$F129*$G129*$N129)</f>
        <v>0</v>
      </c>
      <c r="DN129" s="182"/>
      <c r="DO129" s="187">
        <f t="shared" ref="DO129:DO130" si="545">(DN129*$E129*$F129*$G129*$O129)</f>
        <v>0</v>
      </c>
      <c r="DP129" s="187"/>
      <c r="DQ129" s="187"/>
      <c r="DR129" s="183">
        <f t="shared" si="488"/>
        <v>98</v>
      </c>
      <c r="DS129" s="183">
        <f t="shared" si="488"/>
        <v>5178197.8468000004</v>
      </c>
      <c r="DT129" s="182">
        <v>98</v>
      </c>
      <c r="DU129" s="182">
        <v>5178197.8468000004</v>
      </c>
      <c r="DV129" s="167">
        <f t="shared" si="319"/>
        <v>0</v>
      </c>
      <c r="DW129" s="167">
        <f t="shared" si="319"/>
        <v>0</v>
      </c>
    </row>
    <row r="130" spans="1:127" ht="30" x14ac:dyDescent="0.25">
      <c r="A130" s="154"/>
      <c r="B130" s="176">
        <v>97</v>
      </c>
      <c r="C130" s="177" t="s">
        <v>349</v>
      </c>
      <c r="D130" s="178" t="s">
        <v>350</v>
      </c>
      <c r="E130" s="158">
        <v>25969</v>
      </c>
      <c r="F130" s="179">
        <v>2.11</v>
      </c>
      <c r="G130" s="168">
        <v>1</v>
      </c>
      <c r="H130" s="169"/>
      <c r="I130" s="169"/>
      <c r="J130" s="169"/>
      <c r="K130" s="106"/>
      <c r="L130" s="255">
        <v>1.4</v>
      </c>
      <c r="M130" s="255">
        <v>1.68</v>
      </c>
      <c r="N130" s="255">
        <v>2.23</v>
      </c>
      <c r="O130" s="256">
        <v>2.57</v>
      </c>
      <c r="P130" s="182">
        <v>7</v>
      </c>
      <c r="Q130" s="182">
        <f t="shared" si="507"/>
        <v>536986.98199999996</v>
      </c>
      <c r="R130" s="182"/>
      <c r="S130" s="187">
        <f t="shared" si="508"/>
        <v>0</v>
      </c>
      <c r="T130" s="182">
        <v>77</v>
      </c>
      <c r="U130" s="182">
        <f t="shared" si="509"/>
        <v>5906856.8019999992</v>
      </c>
      <c r="V130" s="182"/>
      <c r="W130" s="182">
        <f t="shared" si="510"/>
        <v>0</v>
      </c>
      <c r="X130" s="182"/>
      <c r="Y130" s="182">
        <v>0</v>
      </c>
      <c r="Z130" s="182"/>
      <c r="AA130" s="182">
        <v>0</v>
      </c>
      <c r="AB130" s="182">
        <f t="shared" si="497"/>
        <v>0</v>
      </c>
      <c r="AC130" s="182">
        <f t="shared" si="497"/>
        <v>0</v>
      </c>
      <c r="AD130" s="182"/>
      <c r="AE130" s="182">
        <f t="shared" si="511"/>
        <v>0</v>
      </c>
      <c r="AF130" s="182"/>
      <c r="AG130" s="182"/>
      <c r="AH130" s="182"/>
      <c r="AI130" s="182">
        <f t="shared" si="512"/>
        <v>0</v>
      </c>
      <c r="AJ130" s="182"/>
      <c r="AK130" s="182"/>
      <c r="AL130" s="182"/>
      <c r="AM130" s="182"/>
      <c r="AN130" s="184"/>
      <c r="AO130" s="182">
        <f t="shared" si="513"/>
        <v>0</v>
      </c>
      <c r="AP130" s="182"/>
      <c r="AQ130" s="182">
        <f t="shared" si="514"/>
        <v>0</v>
      </c>
      <c r="AR130" s="182"/>
      <c r="AS130" s="182">
        <f t="shared" si="515"/>
        <v>0</v>
      </c>
      <c r="AT130" s="182"/>
      <c r="AU130" s="183">
        <f t="shared" si="516"/>
        <v>0</v>
      </c>
      <c r="AV130" s="188"/>
      <c r="AW130" s="182">
        <f t="shared" si="517"/>
        <v>0</v>
      </c>
      <c r="AX130" s="182"/>
      <c r="AY130" s="187">
        <f t="shared" si="518"/>
        <v>0</v>
      </c>
      <c r="AZ130" s="182"/>
      <c r="BA130" s="182">
        <f>(AZ130*$E130*$F130*$G130*$L130*$AO$12)</f>
        <v>0</v>
      </c>
      <c r="BB130" s="182">
        <v>0</v>
      </c>
      <c r="BC130" s="182">
        <f t="shared" si="519"/>
        <v>0</v>
      </c>
      <c r="BD130" s="182"/>
      <c r="BE130" s="182">
        <f>(BD130*$E130*$F130*$G130*$L130*BE$12)</f>
        <v>0</v>
      </c>
      <c r="BF130" s="182"/>
      <c r="BG130" s="182">
        <f t="shared" si="520"/>
        <v>0</v>
      </c>
      <c r="BH130" s="182"/>
      <c r="BI130" s="182">
        <f t="shared" si="521"/>
        <v>0</v>
      </c>
      <c r="BJ130" s="182"/>
      <c r="BK130" s="182"/>
      <c r="BL130" s="182"/>
      <c r="BM130" s="182">
        <f t="shared" si="522"/>
        <v>0</v>
      </c>
      <c r="BN130" s="182"/>
      <c r="BO130" s="182">
        <f t="shared" si="523"/>
        <v>0</v>
      </c>
      <c r="BP130" s="182"/>
      <c r="BQ130" s="182">
        <f t="shared" si="524"/>
        <v>0</v>
      </c>
      <c r="BR130" s="182"/>
      <c r="BS130" s="182">
        <f t="shared" si="525"/>
        <v>0</v>
      </c>
      <c r="BT130" s="182"/>
      <c r="BU130" s="182">
        <f t="shared" si="526"/>
        <v>0</v>
      </c>
      <c r="BV130" s="182"/>
      <c r="BW130" s="182">
        <f t="shared" si="527"/>
        <v>0</v>
      </c>
      <c r="BX130" s="182"/>
      <c r="BY130" s="182">
        <f t="shared" si="528"/>
        <v>0</v>
      </c>
      <c r="BZ130" s="182"/>
      <c r="CA130" s="187">
        <f t="shared" si="529"/>
        <v>0</v>
      </c>
      <c r="CB130" s="182"/>
      <c r="CC130" s="182">
        <f t="shared" si="530"/>
        <v>0</v>
      </c>
      <c r="CD130" s="182"/>
      <c r="CE130" s="183">
        <f t="shared" si="531"/>
        <v>0</v>
      </c>
      <c r="CF130" s="182"/>
      <c r="CG130" s="182">
        <f t="shared" si="532"/>
        <v>0</v>
      </c>
      <c r="CH130" s="182"/>
      <c r="CI130" s="182">
        <f t="shared" si="533"/>
        <v>0</v>
      </c>
      <c r="CJ130" s="182"/>
      <c r="CK130" s="182"/>
      <c r="CL130" s="182"/>
      <c r="CM130" s="182">
        <f t="shared" si="534"/>
        <v>0</v>
      </c>
      <c r="CN130" s="182"/>
      <c r="CO130" s="182">
        <f t="shared" si="535"/>
        <v>0</v>
      </c>
      <c r="CP130" s="182"/>
      <c r="CQ130" s="182">
        <f t="shared" si="536"/>
        <v>0</v>
      </c>
      <c r="CR130" s="182"/>
      <c r="CS130" s="182">
        <f t="shared" si="537"/>
        <v>0</v>
      </c>
      <c r="CT130" s="182"/>
      <c r="CU130" s="182">
        <f t="shared" si="538"/>
        <v>0</v>
      </c>
      <c r="CV130" s="182"/>
      <c r="CW130" s="182">
        <v>0</v>
      </c>
      <c r="CX130" s="182"/>
      <c r="CY130" s="182">
        <f t="shared" si="539"/>
        <v>0</v>
      </c>
      <c r="CZ130" s="182"/>
      <c r="DA130" s="182">
        <v>0</v>
      </c>
      <c r="DB130" s="188"/>
      <c r="DC130" s="182">
        <f t="shared" si="540"/>
        <v>0</v>
      </c>
      <c r="DD130" s="182"/>
      <c r="DE130" s="187">
        <f t="shared" si="541"/>
        <v>0</v>
      </c>
      <c r="DF130" s="182"/>
      <c r="DG130" s="182"/>
      <c r="DH130" s="189"/>
      <c r="DI130" s="182">
        <f t="shared" si="542"/>
        <v>0</v>
      </c>
      <c r="DJ130" s="182"/>
      <c r="DK130" s="182">
        <f t="shared" si="543"/>
        <v>0</v>
      </c>
      <c r="DL130" s="182"/>
      <c r="DM130" s="182">
        <f t="shared" si="544"/>
        <v>0</v>
      </c>
      <c r="DN130" s="182"/>
      <c r="DO130" s="187">
        <f t="shared" si="545"/>
        <v>0</v>
      </c>
      <c r="DP130" s="187"/>
      <c r="DQ130" s="187"/>
      <c r="DR130" s="183">
        <f t="shared" si="488"/>
        <v>84</v>
      </c>
      <c r="DS130" s="183">
        <f t="shared" si="488"/>
        <v>6443843.7839999991</v>
      </c>
      <c r="DT130" s="182">
        <v>82</v>
      </c>
      <c r="DU130" s="182">
        <v>6290418.9319999991</v>
      </c>
      <c r="DV130" s="167">
        <f t="shared" si="319"/>
        <v>2</v>
      </c>
      <c r="DW130" s="167">
        <f t="shared" si="319"/>
        <v>153424.85199999996</v>
      </c>
    </row>
    <row r="131" spans="1:127" ht="30" x14ac:dyDescent="0.25">
      <c r="A131" s="154"/>
      <c r="B131" s="176">
        <v>98</v>
      </c>
      <c r="C131" s="177" t="s">
        <v>351</v>
      </c>
      <c r="D131" s="210" t="s">
        <v>352</v>
      </c>
      <c r="E131" s="158">
        <v>25969</v>
      </c>
      <c r="F131" s="179">
        <v>0.74</v>
      </c>
      <c r="G131" s="168">
        <v>1</v>
      </c>
      <c r="H131" s="169"/>
      <c r="I131" s="169"/>
      <c r="J131" s="169"/>
      <c r="K131" s="106"/>
      <c r="L131" s="180">
        <v>1.4</v>
      </c>
      <c r="M131" s="180">
        <v>1.68</v>
      </c>
      <c r="N131" s="180">
        <v>2.23</v>
      </c>
      <c r="O131" s="181">
        <v>2.57</v>
      </c>
      <c r="P131" s="182">
        <v>46</v>
      </c>
      <c r="Q131" s="182">
        <f t="shared" ref="Q131:Q138" si="546">(P131*$E131*$F131*$G131*$L131*$Q$12)</f>
        <v>1361336.5304</v>
      </c>
      <c r="R131" s="182">
        <v>850</v>
      </c>
      <c r="S131" s="182">
        <f t="shared" ref="S131:S138" si="547">(R131*$E131*$F131*$G131*$L131*$S$12)</f>
        <v>25155131.539999999</v>
      </c>
      <c r="T131" s="182">
        <f>225+10</f>
        <v>235</v>
      </c>
      <c r="U131" s="182">
        <f t="shared" ref="U131:U138" si="548">(T131/12*11*$E131*$F131*$G131*$L131*$U$12)+(T131/12*1*$E131*$F131*$G131*$L131*$U$14)</f>
        <v>7982046.0842499994</v>
      </c>
      <c r="V131" s="182"/>
      <c r="W131" s="183">
        <f t="shared" ref="W131:W138" si="549">(V131*$E131*$F131*$G131*$L131*$W$12)/12*10+(V131*$E131*$F131*$G131*$L131*$W$13)/12*1++(V131*$E131*$F131*$G131*$L131*$W$14)/12*1</f>
        <v>0</v>
      </c>
      <c r="X131" s="183"/>
      <c r="Y131" s="183">
        <v>0</v>
      </c>
      <c r="Z131" s="183"/>
      <c r="AA131" s="183">
        <v>0</v>
      </c>
      <c r="AB131" s="182">
        <f t="shared" si="497"/>
        <v>0</v>
      </c>
      <c r="AC131" s="182">
        <f t="shared" si="497"/>
        <v>0</v>
      </c>
      <c r="AD131" s="182"/>
      <c r="AE131" s="182">
        <f t="shared" ref="AE131:AE138" si="550">(AD131*$E131*$F131*$G131*$L131*$AE$12)</f>
        <v>0</v>
      </c>
      <c r="AF131" s="182"/>
      <c r="AG131" s="182"/>
      <c r="AH131" s="182">
        <v>47</v>
      </c>
      <c r="AI131" s="182">
        <f t="shared" ref="AI131:AI138" si="551">(AH131*$E131*$F131*$G131*$L131*$AI$12)</f>
        <v>1390930.8027999999</v>
      </c>
      <c r="AJ131" s="182"/>
      <c r="AK131" s="182"/>
      <c r="AL131" s="182"/>
      <c r="AM131" s="182"/>
      <c r="AN131" s="184"/>
      <c r="AO131" s="182">
        <f t="shared" ref="AO131:AO138" si="552">(AN131*$E131*$F131*$G131*$L131*$AO$12)</f>
        <v>0</v>
      </c>
      <c r="AP131" s="182">
        <v>17</v>
      </c>
      <c r="AQ131" s="183">
        <f t="shared" ref="AQ131:AQ138" si="553">(AP131*$E131*$F131*$G131*$L131*$AQ$12)</f>
        <v>503102.63080000004</v>
      </c>
      <c r="AR131" s="182">
        <v>6</v>
      </c>
      <c r="AS131" s="182">
        <f t="shared" ref="AS131:AS138" si="554">(AR131*$E131*$F131*$G131*$L131*$AS$12)/12*10+(AR131*$E131*$F131*$G131*$L131*$AS$13)/12*1+(AR131*$E131*$F131*$L131*$G131*$AS$14*$AS$15)/12*1</f>
        <v>191687.48311160001</v>
      </c>
      <c r="AT131" s="182">
        <v>47</v>
      </c>
      <c r="AU131" s="182">
        <f t="shared" ref="AU131:AU138" si="555">(AT131*$E131*$F131*$G131*$M131*$AU$12)/12*10+(AT131*$E131*$F131*$G131*$M131*$AU$13)/12+(AT131*$E131*$F131*$G131*$M131*$AU$14*$AU$15)/12</f>
        <v>1748626.8672887115</v>
      </c>
      <c r="AV131" s="188"/>
      <c r="AW131" s="182">
        <f t="shared" ref="AW131:AW138" si="556">(AV131*$E131*$F131*$G131*$M131*$AW$12)</f>
        <v>0</v>
      </c>
      <c r="AX131" s="182">
        <v>12</v>
      </c>
      <c r="AY131" s="187">
        <f t="shared" ref="AY131:AY138" si="557">(AX131*$E131*$F131*$G131*$M131*$AY$12)</f>
        <v>426157.52256000001</v>
      </c>
      <c r="AZ131" s="182"/>
      <c r="BA131" s="182">
        <f t="shared" ref="BA131:BA138" si="558">(AZ131*$E131*$F131*$G131*$L131*$BA$12)</f>
        <v>0</v>
      </c>
      <c r="BB131" s="182">
        <v>0</v>
      </c>
      <c r="BC131" s="182">
        <f t="shared" ref="BC131:BC138" si="559">(BB131*$E131*$F131*$G131*$L131*$BC$12)</f>
        <v>0</v>
      </c>
      <c r="BD131" s="182"/>
      <c r="BE131" s="182">
        <f t="shared" ref="BE131:BE138" si="560">(BD131*$E131*$F131*$G131*$L131*$BE$12)</f>
        <v>0</v>
      </c>
      <c r="BF131" s="182"/>
      <c r="BG131" s="182">
        <f t="shared" ref="BG131:BG138" si="561">(BF131*$E131*$F131*$G131*$L131*$BG$12)</f>
        <v>0</v>
      </c>
      <c r="BH131" s="182"/>
      <c r="BI131" s="183">
        <f t="shared" ref="BI131:BI138" si="562">(BH131*$E131*$F131*$G131*$L131*$BI$12)</f>
        <v>0</v>
      </c>
      <c r="BJ131" s="182"/>
      <c r="BK131" s="183">
        <f t="shared" ref="BK131:BK138" si="563">(BJ131*$E131*$F131*$G131*$L131*$BK$12)</f>
        <v>0</v>
      </c>
      <c r="BL131" s="182">
        <v>21</v>
      </c>
      <c r="BM131" s="182">
        <f t="shared" ref="BM131:BM138" si="564">(BL131/12*11*$E131*$F131*$G131*$L131*$BM$12)+(BL131/12*$E131*$F131*$G131*$L131*$BM$12*$BM$15)</f>
        <v>788645.33559319191</v>
      </c>
      <c r="BN131" s="182">
        <v>112</v>
      </c>
      <c r="BO131" s="182">
        <f t="shared" ref="BO131:BO138" si="565">(BN131*$E131*$F131*$G131*$M131*$BO$12)</f>
        <v>3977470.2105600005</v>
      </c>
      <c r="BP131" s="182">
        <v>219</v>
      </c>
      <c r="BQ131" s="182">
        <f t="shared" ref="BQ131:BQ133" si="566">(BP131/12*11*$E131*$F131*$G131*$M131*$BQ$12)+(BP131/12*$E131*$F131*$G131*$M131*$BQ$14*$BQ$15)</f>
        <v>7603933.437025547</v>
      </c>
      <c r="BR131" s="182"/>
      <c r="BS131" s="183">
        <f t="shared" ref="BS131:BS138" si="567">(BR131*$E131*$F131*$G131*$M131*$BS$12)</f>
        <v>0</v>
      </c>
      <c r="BT131" s="182">
        <v>63</v>
      </c>
      <c r="BU131" s="182">
        <f t="shared" ref="BU131:BU138" si="568">(BT131*$E131*$F131*$G131*$M131*$BU$12)/12*10+(BT131*$E131*$F131*$G131*$M131*$BU$13)/12+(BT131*$E131*$F131*$G131*$M131*$BU$13*$BU$15)/12</f>
        <v>2265804.7761771069</v>
      </c>
      <c r="BV131" s="182">
        <v>37</v>
      </c>
      <c r="BW131" s="182">
        <f t="shared" ref="BW131:BW138" si="569">(BV131*$E131*$F131*$G131*$M131*$BW$12)</f>
        <v>1075079.2046399999</v>
      </c>
      <c r="BX131" s="182">
        <v>14</v>
      </c>
      <c r="BY131" s="183">
        <f t="shared" ref="BY131:BY138" si="570">(BX131*$E131*$F131*$G131*$M131*$BY$12)/12*11+(BX131*$E131*$F131*$G131*$M131*$BY$12*$BY$15)/12</f>
        <v>609583.468588416</v>
      </c>
      <c r="BZ131" s="182">
        <v>70</v>
      </c>
      <c r="CA131" s="187">
        <f t="shared" ref="CA131:CA138" si="571">(BZ131*$E131*$F131*$G131*$M131*$CA$12)/12*11+(BZ131*$E131*$F131*$G131*$M131*$CA$12*$CA$15)/12</f>
        <v>2953554.1221228</v>
      </c>
      <c r="CB131" s="182"/>
      <c r="CC131" s="182">
        <f t="shared" ref="CC131:CC138" si="572">(CB131*$E131*$F131*$G131*$L131*$CC$12)</f>
        <v>0</v>
      </c>
      <c r="CD131" s="182">
        <v>25</v>
      </c>
      <c r="CE131" s="182">
        <f t="shared" ref="CE131:CE138" si="573">(CD131*$E131*$F131*$G131*$L131*$CE$12)</f>
        <v>672597.1</v>
      </c>
      <c r="CF131" s="182"/>
      <c r="CG131" s="182">
        <f t="shared" ref="CG131:CG138" si="574">(CF131*$E131*$F131*$G131*$L131*$CG$12)</f>
        <v>0</v>
      </c>
      <c r="CH131" s="182">
        <v>110</v>
      </c>
      <c r="CI131" s="182">
        <f t="shared" ref="CI131:CI138" si="575">(CH131*$E131*$F131*$G131*$M131*$CI$12)/12*11+(CH131*$E131*$F131*$G131*$M131*$CI$12*$CI$15)/12</f>
        <v>3957707.1554512796</v>
      </c>
      <c r="CJ131" s="182"/>
      <c r="CK131" s="182"/>
      <c r="CL131" s="182"/>
      <c r="CM131" s="183">
        <f t="shared" ref="CM131:CM138" si="576">(CL131*$E131*$F131*$G131*$L131*$CM$12)</f>
        <v>0</v>
      </c>
      <c r="CN131" s="182"/>
      <c r="CO131" s="183">
        <f t="shared" ref="CO131:CO138" si="577">(CN131*$E131*$F131*$G131*$L131*$CO$12)</f>
        <v>0</v>
      </c>
      <c r="CP131" s="182">
        <v>116</v>
      </c>
      <c r="CQ131" s="182">
        <f t="shared" ref="CQ131:CQ138" si="578">(CP131*$E131*$F131*$G131*$L131*$CQ$12)/12*11+(CP131*$E131*$F131*$G131*$L131*$CQ$12*$CQ$15)/12</f>
        <v>3458901.0749260802</v>
      </c>
      <c r="CR131" s="182">
        <v>140</v>
      </c>
      <c r="CS131" s="182">
        <f t="shared" ref="CS131:CS138" si="579">(CR131*$E131*$F131*$G131*$L131*$CS$12)/12*10+(CR131*$E131*$F131*$G131*$L131*$CS$13)/12+(CR131*$E131*$F131*$G131*$L131*$CS$13*$CS$15)/12</f>
        <v>4515590.0399782667</v>
      </c>
      <c r="CT131" s="182">
        <v>20</v>
      </c>
      <c r="CU131" s="182">
        <f t="shared" ref="CU131:CU138" si="580">(CT131*$E131*$F131*$G131*$L131*$CU$12)/12*11+(CT131*$E131*$F131*$G131*$L131*$CU$12*$CU$15)/12</f>
        <v>564868.56768719992</v>
      </c>
      <c r="CV131" s="182">
        <v>29</v>
      </c>
      <c r="CW131" s="182">
        <v>953706.30000000016</v>
      </c>
      <c r="CX131" s="182"/>
      <c r="CY131" s="182">
        <f t="shared" ref="CY131" si="581">(CX131*$E131*$F131*$G131*$M131*$CY$12)</f>
        <v>0</v>
      </c>
      <c r="CZ131" s="182">
        <v>26</v>
      </c>
      <c r="DA131" s="182">
        <v>823258.83000000007</v>
      </c>
      <c r="DB131" s="188"/>
      <c r="DC131" s="182">
        <f t="shared" ref="DC131:DC138" si="582">(DB131*$E131*$F131*$G131*$M131*$DC$12)</f>
        <v>0</v>
      </c>
      <c r="DD131" s="182"/>
      <c r="DE131" s="187">
        <f t="shared" ref="DE131:DE138" si="583">(DD131*$E131*$F131*$G131*$M131*DE$12)</f>
        <v>0</v>
      </c>
      <c r="DF131" s="182"/>
      <c r="DG131" s="182">
        <f t="shared" ref="DG131:DG138" si="584">(DF131*$E131*$F131*$G131*$M131*$DG$12)</f>
        <v>0</v>
      </c>
      <c r="DH131" s="189"/>
      <c r="DI131" s="182">
        <f t="shared" ref="DI131:DI138" si="585">(DH131*$E131*$F131*$G131*$M131*$DI$12)</f>
        <v>0</v>
      </c>
      <c r="DJ131" s="182">
        <f>67-12</f>
        <v>55</v>
      </c>
      <c r="DK131" s="182">
        <f t="shared" ref="DK131:DK138" si="586">(DJ131/12*11*$E131*$F131*$G131*$M131*$DK$12)+(DJ131/12*1*$E131*$F131*$M131*$G131*$DK$12*$DK$15)</f>
        <v>1934917.9209205995</v>
      </c>
      <c r="DL131" s="182">
        <f>ROUND(20*0.75,0)</f>
        <v>15</v>
      </c>
      <c r="DM131" s="182">
        <f t="shared" ref="DM131:DM138" si="587">(DL131*$E131*$F131*$G131*$N131*$DM$12)</f>
        <v>642810.65700000001</v>
      </c>
      <c r="DN131" s="182">
        <f>ROUND(25*0.75,0)</f>
        <v>19</v>
      </c>
      <c r="DO131" s="190">
        <f t="shared" ref="DO131:DO138" si="588">(DN131*$E131*$F131*$G131*$O131*$DO$12)</f>
        <v>938369.03980000003</v>
      </c>
      <c r="DP131" s="187"/>
      <c r="DQ131" s="187"/>
      <c r="DR131" s="183">
        <f t="shared" si="488"/>
        <v>2351</v>
      </c>
      <c r="DS131" s="183">
        <f t="shared" si="488"/>
        <v>76495816.701680809</v>
      </c>
      <c r="DT131" s="182">
        <v>2051</v>
      </c>
      <c r="DU131" s="182">
        <v>64818363.912146665</v>
      </c>
      <c r="DV131" s="167">
        <f t="shared" si="319"/>
        <v>300</v>
      </c>
      <c r="DW131" s="167">
        <f t="shared" si="319"/>
        <v>11677452.789534144</v>
      </c>
    </row>
    <row r="132" spans="1:127" ht="30" x14ac:dyDescent="0.25">
      <c r="A132" s="154"/>
      <c r="B132" s="176">
        <v>99</v>
      </c>
      <c r="C132" s="177" t="s">
        <v>353</v>
      </c>
      <c r="D132" s="210" t="s">
        <v>354</v>
      </c>
      <c r="E132" s="158">
        <v>25969</v>
      </c>
      <c r="F132" s="179">
        <v>0.99</v>
      </c>
      <c r="G132" s="168">
        <v>1</v>
      </c>
      <c r="H132" s="169"/>
      <c r="I132" s="169"/>
      <c r="J132" s="169"/>
      <c r="K132" s="106"/>
      <c r="L132" s="180">
        <v>1.4</v>
      </c>
      <c r="M132" s="180">
        <v>1.68</v>
      </c>
      <c r="N132" s="180">
        <v>2.23</v>
      </c>
      <c r="O132" s="181">
        <v>2.57</v>
      </c>
      <c r="P132" s="182">
        <v>35</v>
      </c>
      <c r="Q132" s="182">
        <f t="shared" si="546"/>
        <v>1385731.8090000001</v>
      </c>
      <c r="R132" s="182">
        <v>44</v>
      </c>
      <c r="S132" s="182">
        <f t="shared" si="547"/>
        <v>1742062.8455999999</v>
      </c>
      <c r="T132" s="182">
        <v>63</v>
      </c>
      <c r="U132" s="182">
        <f t="shared" si="548"/>
        <v>2862795.9417750002</v>
      </c>
      <c r="V132" s="182"/>
      <c r="W132" s="183">
        <f t="shared" si="549"/>
        <v>0</v>
      </c>
      <c r="X132" s="183"/>
      <c r="Y132" s="183">
        <v>0</v>
      </c>
      <c r="Z132" s="183"/>
      <c r="AA132" s="183">
        <v>0</v>
      </c>
      <c r="AB132" s="182">
        <f t="shared" si="497"/>
        <v>0</v>
      </c>
      <c r="AC132" s="182">
        <f t="shared" si="497"/>
        <v>0</v>
      </c>
      <c r="AD132" s="182"/>
      <c r="AE132" s="182">
        <f t="shared" si="550"/>
        <v>0</v>
      </c>
      <c r="AF132" s="182"/>
      <c r="AG132" s="182"/>
      <c r="AH132" s="182">
        <v>25</v>
      </c>
      <c r="AI132" s="182">
        <f t="shared" si="551"/>
        <v>989808.43500000006</v>
      </c>
      <c r="AJ132" s="182"/>
      <c r="AK132" s="182"/>
      <c r="AL132" s="182"/>
      <c r="AM132" s="182"/>
      <c r="AN132" s="184"/>
      <c r="AO132" s="182">
        <f t="shared" si="552"/>
        <v>0</v>
      </c>
      <c r="AP132" s="182">
        <v>2</v>
      </c>
      <c r="AQ132" s="183">
        <f t="shared" si="553"/>
        <v>79184.674800000008</v>
      </c>
      <c r="AR132" s="182"/>
      <c r="AS132" s="182">
        <f t="shared" si="554"/>
        <v>0</v>
      </c>
      <c r="AT132" s="182">
        <v>5</v>
      </c>
      <c r="AU132" s="182">
        <f t="shared" si="555"/>
        <v>248870.12631049802</v>
      </c>
      <c r="AV132" s="188"/>
      <c r="AW132" s="182">
        <f t="shared" si="556"/>
        <v>0</v>
      </c>
      <c r="AX132" s="182">
        <v>1</v>
      </c>
      <c r="AY132" s="187">
        <f t="shared" si="557"/>
        <v>47510.804880000003</v>
      </c>
      <c r="AZ132" s="182"/>
      <c r="BA132" s="182">
        <f t="shared" si="558"/>
        <v>0</v>
      </c>
      <c r="BB132" s="182"/>
      <c r="BC132" s="182">
        <f t="shared" si="559"/>
        <v>0</v>
      </c>
      <c r="BD132" s="182"/>
      <c r="BE132" s="182">
        <f t="shared" si="560"/>
        <v>0</v>
      </c>
      <c r="BF132" s="182"/>
      <c r="BG132" s="182">
        <f t="shared" si="561"/>
        <v>0</v>
      </c>
      <c r="BH132" s="182"/>
      <c r="BI132" s="183">
        <f t="shared" si="562"/>
        <v>0</v>
      </c>
      <c r="BJ132" s="182"/>
      <c r="BK132" s="183">
        <f t="shared" si="563"/>
        <v>0</v>
      </c>
      <c r="BL132" s="182">
        <v>2</v>
      </c>
      <c r="BM132" s="182">
        <f t="shared" si="564"/>
        <v>100483.76862770399</v>
      </c>
      <c r="BN132" s="182">
        <v>22</v>
      </c>
      <c r="BO132" s="182">
        <f t="shared" si="565"/>
        <v>1045237.7073599999</v>
      </c>
      <c r="BP132" s="182">
        <v>8</v>
      </c>
      <c r="BQ132" s="182">
        <f t="shared" si="566"/>
        <v>371610.22350513592</v>
      </c>
      <c r="BR132" s="182"/>
      <c r="BS132" s="183">
        <f t="shared" si="567"/>
        <v>0</v>
      </c>
      <c r="BT132" s="182">
        <v>1</v>
      </c>
      <c r="BU132" s="182">
        <f t="shared" si="568"/>
        <v>48115.545440054404</v>
      </c>
      <c r="BV132" s="182">
        <v>2</v>
      </c>
      <c r="BW132" s="182">
        <f t="shared" si="569"/>
        <v>77744.953439999997</v>
      </c>
      <c r="BX132" s="182">
        <v>3</v>
      </c>
      <c r="BY132" s="183">
        <f t="shared" si="570"/>
        <v>174755.10634243197</v>
      </c>
      <c r="BZ132" s="182"/>
      <c r="CA132" s="187">
        <f t="shared" si="571"/>
        <v>0</v>
      </c>
      <c r="CB132" s="182"/>
      <c r="CC132" s="182">
        <f t="shared" si="572"/>
        <v>0</v>
      </c>
      <c r="CD132" s="182"/>
      <c r="CE132" s="182">
        <f t="shared" si="573"/>
        <v>0</v>
      </c>
      <c r="CF132" s="182"/>
      <c r="CG132" s="182">
        <f t="shared" si="574"/>
        <v>0</v>
      </c>
      <c r="CH132" s="182">
        <v>1</v>
      </c>
      <c r="CI132" s="182">
        <f t="shared" si="575"/>
        <v>48134.276214948004</v>
      </c>
      <c r="CJ132" s="182"/>
      <c r="CK132" s="182"/>
      <c r="CL132" s="182"/>
      <c r="CM132" s="183">
        <f t="shared" si="576"/>
        <v>0</v>
      </c>
      <c r="CN132" s="182"/>
      <c r="CO132" s="183">
        <f t="shared" si="577"/>
        <v>0</v>
      </c>
      <c r="CP132" s="182"/>
      <c r="CQ132" s="182">
        <f t="shared" si="578"/>
        <v>0</v>
      </c>
      <c r="CR132" s="182">
        <v>6</v>
      </c>
      <c r="CS132" s="182">
        <f t="shared" si="579"/>
        <v>258905.45209913995</v>
      </c>
      <c r="CT132" s="182"/>
      <c r="CU132" s="182">
        <f t="shared" si="580"/>
        <v>0</v>
      </c>
      <c r="CV132" s="182">
        <v>3</v>
      </c>
      <c r="CW132" s="182">
        <v>126727.52</v>
      </c>
      <c r="CX132" s="182">
        <v>28</v>
      </c>
      <c r="CY132" s="182">
        <f t="shared" ref="CY132:CY138" si="589">(CX132/12*11*$E132*$F132*$G132*$M132*$CY$12)+(CX132/12*$E132*$F132*$G132*$M132*$CY$15*$CY$12)</f>
        <v>1305135.631378656</v>
      </c>
      <c r="CZ132" s="182">
        <v>2</v>
      </c>
      <c r="DA132" s="182">
        <v>86383.28</v>
      </c>
      <c r="DB132" s="188"/>
      <c r="DC132" s="182">
        <f t="shared" si="582"/>
        <v>0</v>
      </c>
      <c r="DD132" s="182"/>
      <c r="DE132" s="187">
        <f t="shared" si="583"/>
        <v>0</v>
      </c>
      <c r="DF132" s="182"/>
      <c r="DG132" s="182">
        <f t="shared" si="584"/>
        <v>0</v>
      </c>
      <c r="DH132" s="189"/>
      <c r="DI132" s="182">
        <f t="shared" si="585"/>
        <v>0</v>
      </c>
      <c r="DJ132" s="182"/>
      <c r="DK132" s="182">
        <f t="shared" si="586"/>
        <v>0</v>
      </c>
      <c r="DL132" s="182"/>
      <c r="DM132" s="182">
        <f t="shared" si="587"/>
        <v>0</v>
      </c>
      <c r="DN132" s="182">
        <f>ROUND(3*0.75,0)</f>
        <v>2</v>
      </c>
      <c r="DO132" s="190">
        <f t="shared" si="588"/>
        <v>132145.85339999999</v>
      </c>
      <c r="DP132" s="187"/>
      <c r="DQ132" s="187"/>
      <c r="DR132" s="183">
        <f t="shared" si="488"/>
        <v>255</v>
      </c>
      <c r="DS132" s="183">
        <f t="shared" si="488"/>
        <v>11131343.955173565</v>
      </c>
      <c r="DT132" s="182">
        <v>246</v>
      </c>
      <c r="DU132" s="182">
        <v>10541363.324919999</v>
      </c>
      <c r="DV132" s="167">
        <f t="shared" si="319"/>
        <v>9</v>
      </c>
      <c r="DW132" s="167">
        <f t="shared" si="319"/>
        <v>589980.63025356643</v>
      </c>
    </row>
    <row r="133" spans="1:127" ht="30" x14ac:dyDescent="0.25">
      <c r="A133" s="154"/>
      <c r="B133" s="176">
        <v>100</v>
      </c>
      <c r="C133" s="177" t="s">
        <v>355</v>
      </c>
      <c r="D133" s="210" t="s">
        <v>356</v>
      </c>
      <c r="E133" s="158">
        <v>25969</v>
      </c>
      <c r="F133" s="179">
        <v>1.1499999999999999</v>
      </c>
      <c r="G133" s="168">
        <v>1</v>
      </c>
      <c r="H133" s="169"/>
      <c r="I133" s="169"/>
      <c r="J133" s="169"/>
      <c r="K133" s="106"/>
      <c r="L133" s="180">
        <v>1.4</v>
      </c>
      <c r="M133" s="180">
        <v>1.68</v>
      </c>
      <c r="N133" s="180">
        <v>2.23</v>
      </c>
      <c r="O133" s="181">
        <v>2.57</v>
      </c>
      <c r="P133" s="182">
        <v>56</v>
      </c>
      <c r="Q133" s="182">
        <f t="shared" si="546"/>
        <v>2575501.5439999998</v>
      </c>
      <c r="R133" s="182">
        <v>117</v>
      </c>
      <c r="S133" s="182">
        <f t="shared" si="547"/>
        <v>5380958.5829999996</v>
      </c>
      <c r="T133" s="182">
        <f>10+7</f>
        <v>17</v>
      </c>
      <c r="U133" s="182">
        <f t="shared" si="548"/>
        <v>897349.05662499997</v>
      </c>
      <c r="V133" s="182"/>
      <c r="W133" s="183">
        <f t="shared" si="549"/>
        <v>0</v>
      </c>
      <c r="X133" s="183"/>
      <c r="Y133" s="183">
        <v>0</v>
      </c>
      <c r="Z133" s="183"/>
      <c r="AA133" s="183">
        <v>0</v>
      </c>
      <c r="AB133" s="182">
        <f t="shared" si="497"/>
        <v>0</v>
      </c>
      <c r="AC133" s="182">
        <f t="shared" si="497"/>
        <v>0</v>
      </c>
      <c r="AD133" s="182"/>
      <c r="AE133" s="182">
        <f t="shared" si="550"/>
        <v>0</v>
      </c>
      <c r="AF133" s="182"/>
      <c r="AG133" s="182"/>
      <c r="AH133" s="182">
        <v>4</v>
      </c>
      <c r="AI133" s="182">
        <f t="shared" si="551"/>
        <v>183964.39600000001</v>
      </c>
      <c r="AJ133" s="182"/>
      <c r="AK133" s="182"/>
      <c r="AL133" s="182"/>
      <c r="AM133" s="182"/>
      <c r="AN133" s="184"/>
      <c r="AO133" s="182">
        <f t="shared" si="552"/>
        <v>0</v>
      </c>
      <c r="AP133" s="182"/>
      <c r="AQ133" s="183">
        <f t="shared" si="553"/>
        <v>0</v>
      </c>
      <c r="AR133" s="182"/>
      <c r="AS133" s="182">
        <f t="shared" si="554"/>
        <v>0</v>
      </c>
      <c r="AT133" s="182">
        <f>48-26</f>
        <v>22</v>
      </c>
      <c r="AU133" s="182">
        <f t="shared" si="555"/>
        <v>1272002.8678092118</v>
      </c>
      <c r="AV133" s="188"/>
      <c r="AW133" s="182">
        <f t="shared" si="556"/>
        <v>0</v>
      </c>
      <c r="AX133" s="182">
        <v>5</v>
      </c>
      <c r="AY133" s="187">
        <f t="shared" si="557"/>
        <v>275946.59399999998</v>
      </c>
      <c r="AZ133" s="182"/>
      <c r="BA133" s="182">
        <f t="shared" si="558"/>
        <v>0</v>
      </c>
      <c r="BB133" s="182"/>
      <c r="BC133" s="182">
        <f t="shared" si="559"/>
        <v>0</v>
      </c>
      <c r="BD133" s="182"/>
      <c r="BE133" s="182">
        <f t="shared" si="560"/>
        <v>0</v>
      </c>
      <c r="BF133" s="182"/>
      <c r="BG133" s="182">
        <f t="shared" si="561"/>
        <v>0</v>
      </c>
      <c r="BH133" s="182"/>
      <c r="BI133" s="183">
        <f t="shared" si="562"/>
        <v>0</v>
      </c>
      <c r="BJ133" s="182"/>
      <c r="BK133" s="183">
        <f t="shared" si="563"/>
        <v>0</v>
      </c>
      <c r="BL133" s="182">
        <v>5</v>
      </c>
      <c r="BM133" s="182">
        <f t="shared" si="564"/>
        <v>291808.92404509999</v>
      </c>
      <c r="BN133" s="182">
        <v>36</v>
      </c>
      <c r="BO133" s="182">
        <f t="shared" si="565"/>
        <v>1986815.4767999998</v>
      </c>
      <c r="BP133" s="182">
        <v>8</v>
      </c>
      <c r="BQ133" s="182">
        <f t="shared" si="566"/>
        <v>431668.44144535996</v>
      </c>
      <c r="BR133" s="182"/>
      <c r="BS133" s="183">
        <f t="shared" si="567"/>
        <v>0</v>
      </c>
      <c r="BT133" s="182">
        <v>4</v>
      </c>
      <c r="BU133" s="182">
        <f t="shared" si="568"/>
        <v>223567.18083257595</v>
      </c>
      <c r="BV133" s="182">
        <v>9</v>
      </c>
      <c r="BW133" s="182">
        <f t="shared" si="569"/>
        <v>406394.07479999994</v>
      </c>
      <c r="BX133" s="182">
        <v>23</v>
      </c>
      <c r="BY133" s="183">
        <f t="shared" si="570"/>
        <v>1556320.7282011199</v>
      </c>
      <c r="BZ133" s="182">
        <v>7</v>
      </c>
      <c r="CA133" s="187">
        <f t="shared" si="571"/>
        <v>458998.27573529986</v>
      </c>
      <c r="CB133" s="182"/>
      <c r="CC133" s="182">
        <f t="shared" si="572"/>
        <v>0</v>
      </c>
      <c r="CD133" s="182"/>
      <c r="CE133" s="182">
        <f t="shared" si="573"/>
        <v>0</v>
      </c>
      <c r="CF133" s="182"/>
      <c r="CG133" s="182">
        <f t="shared" si="574"/>
        <v>0</v>
      </c>
      <c r="CH133" s="182">
        <v>5</v>
      </c>
      <c r="CI133" s="182">
        <f t="shared" si="575"/>
        <v>279567.76589489996</v>
      </c>
      <c r="CJ133" s="182"/>
      <c r="CK133" s="182"/>
      <c r="CL133" s="182"/>
      <c r="CM133" s="183">
        <f t="shared" si="576"/>
        <v>0</v>
      </c>
      <c r="CN133" s="182"/>
      <c r="CO133" s="183">
        <f t="shared" si="577"/>
        <v>0</v>
      </c>
      <c r="CP133" s="182">
        <v>45</v>
      </c>
      <c r="CQ133" s="182">
        <f t="shared" si="578"/>
        <v>2085253.1526959999</v>
      </c>
      <c r="CR133" s="182">
        <v>32</v>
      </c>
      <c r="CS133" s="182">
        <f t="shared" si="579"/>
        <v>1603993.3732741331</v>
      </c>
      <c r="CT133" s="182">
        <v>15</v>
      </c>
      <c r="CU133" s="182">
        <f t="shared" si="580"/>
        <v>658377.21571649984</v>
      </c>
      <c r="CV133" s="182">
        <v>5</v>
      </c>
      <c r="CW133" s="182">
        <v>200688.45</v>
      </c>
      <c r="CX133" s="182"/>
      <c r="CY133" s="182">
        <f t="shared" si="589"/>
        <v>0</v>
      </c>
      <c r="CZ133" s="182"/>
      <c r="DA133" s="182">
        <v>0</v>
      </c>
      <c r="DB133" s="188"/>
      <c r="DC133" s="182">
        <f t="shared" si="582"/>
        <v>0</v>
      </c>
      <c r="DD133" s="182"/>
      <c r="DE133" s="187">
        <f t="shared" si="583"/>
        <v>0</v>
      </c>
      <c r="DF133" s="182">
        <v>10</v>
      </c>
      <c r="DG133" s="182">
        <f t="shared" si="584"/>
        <v>501721.07999999996</v>
      </c>
      <c r="DH133" s="189"/>
      <c r="DI133" s="182">
        <f t="shared" si="585"/>
        <v>0</v>
      </c>
      <c r="DJ133" s="182">
        <v>9</v>
      </c>
      <c r="DK133" s="182">
        <f t="shared" si="586"/>
        <v>492049.15188029991</v>
      </c>
      <c r="DL133" s="182"/>
      <c r="DM133" s="182">
        <f t="shared" si="587"/>
        <v>0</v>
      </c>
      <c r="DN133" s="182"/>
      <c r="DO133" s="190">
        <f t="shared" si="588"/>
        <v>0</v>
      </c>
      <c r="DP133" s="187"/>
      <c r="DQ133" s="187"/>
      <c r="DR133" s="183">
        <f t="shared" si="488"/>
        <v>434</v>
      </c>
      <c r="DS133" s="183">
        <f t="shared" si="488"/>
        <v>21762946.332755499</v>
      </c>
      <c r="DT133" s="182">
        <v>420</v>
      </c>
      <c r="DU133" s="182">
        <v>20232599.403833326</v>
      </c>
      <c r="DV133" s="167">
        <f t="shared" si="319"/>
        <v>14</v>
      </c>
      <c r="DW133" s="167">
        <f t="shared" si="319"/>
        <v>1530346.9289221726</v>
      </c>
    </row>
    <row r="134" spans="1:127" ht="18.75" x14ac:dyDescent="0.25">
      <c r="A134" s="154"/>
      <c r="B134" s="176">
        <v>101</v>
      </c>
      <c r="C134" s="177" t="s">
        <v>357</v>
      </c>
      <c r="D134" s="210" t="s">
        <v>358</v>
      </c>
      <c r="E134" s="158">
        <v>25969</v>
      </c>
      <c r="F134" s="179">
        <v>2.82</v>
      </c>
      <c r="G134" s="243">
        <v>0.9</v>
      </c>
      <c r="H134" s="242"/>
      <c r="I134" s="242"/>
      <c r="J134" s="242"/>
      <c r="K134" s="106"/>
      <c r="L134" s="180">
        <v>1.4</v>
      </c>
      <c r="M134" s="180">
        <v>1.68</v>
      </c>
      <c r="N134" s="180">
        <v>2.23</v>
      </c>
      <c r="O134" s="181">
        <v>2.57</v>
      </c>
      <c r="P134" s="244">
        <v>40</v>
      </c>
      <c r="Q134" s="182">
        <f t="shared" si="546"/>
        <v>4060014.2352</v>
      </c>
      <c r="R134" s="182">
        <v>210</v>
      </c>
      <c r="S134" s="182">
        <f t="shared" si="547"/>
        <v>21315074.7348</v>
      </c>
      <c r="T134" s="182">
        <v>3</v>
      </c>
      <c r="U134" s="182">
        <f t="shared" si="548"/>
        <v>349484.17990499997</v>
      </c>
      <c r="V134" s="182"/>
      <c r="W134" s="183">
        <f t="shared" si="549"/>
        <v>0</v>
      </c>
      <c r="X134" s="183"/>
      <c r="Y134" s="183">
        <v>0</v>
      </c>
      <c r="Z134" s="183"/>
      <c r="AA134" s="183">
        <v>0</v>
      </c>
      <c r="AB134" s="182">
        <f t="shared" si="497"/>
        <v>0</v>
      </c>
      <c r="AC134" s="182">
        <f t="shared" si="497"/>
        <v>0</v>
      </c>
      <c r="AD134" s="182"/>
      <c r="AE134" s="182">
        <f t="shared" si="550"/>
        <v>0</v>
      </c>
      <c r="AF134" s="182"/>
      <c r="AG134" s="182"/>
      <c r="AH134" s="182">
        <v>2</v>
      </c>
      <c r="AI134" s="182">
        <f t="shared" si="551"/>
        <v>203000.71176000001</v>
      </c>
      <c r="AJ134" s="182"/>
      <c r="AK134" s="182"/>
      <c r="AL134" s="182"/>
      <c r="AM134" s="182"/>
      <c r="AN134" s="184"/>
      <c r="AO134" s="182">
        <f t="shared" si="552"/>
        <v>0</v>
      </c>
      <c r="AP134" s="182"/>
      <c r="AQ134" s="183">
        <f t="shared" si="553"/>
        <v>0</v>
      </c>
      <c r="AR134" s="182"/>
      <c r="AS134" s="182">
        <f t="shared" si="554"/>
        <v>0</v>
      </c>
      <c r="AT134" s="182">
        <f>211-40</f>
        <v>171</v>
      </c>
      <c r="AU134" s="182">
        <f t="shared" si="555"/>
        <v>21820027.692626975</v>
      </c>
      <c r="AV134" s="188"/>
      <c r="AW134" s="182">
        <f t="shared" si="556"/>
        <v>0</v>
      </c>
      <c r="AX134" s="182"/>
      <c r="AY134" s="187">
        <f t="shared" si="557"/>
        <v>0</v>
      </c>
      <c r="AZ134" s="182"/>
      <c r="BA134" s="182">
        <f t="shared" si="558"/>
        <v>0</v>
      </c>
      <c r="BB134" s="182"/>
      <c r="BC134" s="182">
        <f t="shared" si="559"/>
        <v>0</v>
      </c>
      <c r="BD134" s="182"/>
      <c r="BE134" s="182">
        <f t="shared" si="560"/>
        <v>0</v>
      </c>
      <c r="BF134" s="182"/>
      <c r="BG134" s="182">
        <f t="shared" si="561"/>
        <v>0</v>
      </c>
      <c r="BH134" s="182"/>
      <c r="BI134" s="183">
        <f t="shared" si="562"/>
        <v>0</v>
      </c>
      <c r="BJ134" s="182"/>
      <c r="BK134" s="183">
        <f t="shared" si="563"/>
        <v>0</v>
      </c>
      <c r="BL134" s="182"/>
      <c r="BM134" s="182">
        <f t="shared" si="564"/>
        <v>0</v>
      </c>
      <c r="BN134" s="182">
        <v>6</v>
      </c>
      <c r="BO134" s="182">
        <f t="shared" si="565"/>
        <v>730802.56233600003</v>
      </c>
      <c r="BP134" s="182"/>
      <c r="BQ134" s="182">
        <f t="shared" ref="BQ134:BQ138" si="590">(BP134*$E134*$F134*$G134*$M134*$BQ$12)</f>
        <v>0</v>
      </c>
      <c r="BR134" s="182"/>
      <c r="BS134" s="183">
        <f t="shared" si="567"/>
        <v>0</v>
      </c>
      <c r="BT134" s="182"/>
      <c r="BU134" s="182">
        <f t="shared" si="568"/>
        <v>0</v>
      </c>
      <c r="BV134" s="182"/>
      <c r="BW134" s="182">
        <f t="shared" si="569"/>
        <v>0</v>
      </c>
      <c r="BX134" s="182">
        <v>5</v>
      </c>
      <c r="BY134" s="183">
        <f t="shared" si="570"/>
        <v>746680.90891766397</v>
      </c>
      <c r="BZ134" s="182">
        <v>10</v>
      </c>
      <c r="CA134" s="187">
        <f t="shared" si="571"/>
        <v>1447127.4830014799</v>
      </c>
      <c r="CB134" s="182"/>
      <c r="CC134" s="182">
        <f t="shared" si="572"/>
        <v>0</v>
      </c>
      <c r="CD134" s="182"/>
      <c r="CE134" s="182">
        <f t="shared" si="573"/>
        <v>0</v>
      </c>
      <c r="CF134" s="182"/>
      <c r="CG134" s="182">
        <f t="shared" si="574"/>
        <v>0</v>
      </c>
      <c r="CH134" s="182">
        <v>7</v>
      </c>
      <c r="CI134" s="182">
        <f t="shared" si="575"/>
        <v>863791.46589370316</v>
      </c>
      <c r="CJ134" s="182"/>
      <c r="CK134" s="182"/>
      <c r="CL134" s="182"/>
      <c r="CM134" s="183">
        <f t="shared" si="576"/>
        <v>0</v>
      </c>
      <c r="CN134" s="182"/>
      <c r="CO134" s="183">
        <f t="shared" si="577"/>
        <v>0</v>
      </c>
      <c r="CP134" s="182">
        <v>1</v>
      </c>
      <c r="CQ134" s="182">
        <f t="shared" si="578"/>
        <v>102268.067662656</v>
      </c>
      <c r="CR134" s="182">
        <v>4</v>
      </c>
      <c r="CS134" s="182">
        <f t="shared" si="579"/>
        <v>442492.95449671202</v>
      </c>
      <c r="CT134" s="182"/>
      <c r="CU134" s="182">
        <f t="shared" si="580"/>
        <v>0</v>
      </c>
      <c r="CV134" s="182">
        <v>18</v>
      </c>
      <c r="CW134" s="182">
        <v>1328731.94</v>
      </c>
      <c r="CX134" s="182"/>
      <c r="CY134" s="182">
        <f t="shared" si="589"/>
        <v>0</v>
      </c>
      <c r="CZ134" s="182"/>
      <c r="DA134" s="182">
        <v>0</v>
      </c>
      <c r="DB134" s="188"/>
      <c r="DC134" s="182">
        <f t="shared" si="582"/>
        <v>0</v>
      </c>
      <c r="DD134" s="182"/>
      <c r="DE134" s="187">
        <f t="shared" si="583"/>
        <v>0</v>
      </c>
      <c r="DF134" s="182">
        <v>20</v>
      </c>
      <c r="DG134" s="182">
        <f t="shared" si="584"/>
        <v>2214553.2191999997</v>
      </c>
      <c r="DH134" s="189"/>
      <c r="DI134" s="182">
        <f t="shared" si="585"/>
        <v>0</v>
      </c>
      <c r="DJ134" s="182">
        <v>1</v>
      </c>
      <c r="DK134" s="182">
        <f t="shared" si="586"/>
        <v>120659.00941760399</v>
      </c>
      <c r="DL134" s="182">
        <f>ROUND(1*0.75,0)</f>
        <v>1</v>
      </c>
      <c r="DM134" s="182">
        <f t="shared" si="587"/>
        <v>146977.78805999999</v>
      </c>
      <c r="DN134" s="182"/>
      <c r="DO134" s="190">
        <f t="shared" si="588"/>
        <v>0</v>
      </c>
      <c r="DP134" s="187"/>
      <c r="DQ134" s="187"/>
      <c r="DR134" s="183">
        <f t="shared" si="488"/>
        <v>499</v>
      </c>
      <c r="DS134" s="183">
        <f t="shared" si="488"/>
        <v>55891686.953277789</v>
      </c>
      <c r="DT134" s="182">
        <v>526</v>
      </c>
      <c r="DU134" s="182">
        <v>57721055.420036003</v>
      </c>
      <c r="DV134" s="167">
        <f t="shared" si="319"/>
        <v>-27</v>
      </c>
      <c r="DW134" s="167">
        <f t="shared" si="319"/>
        <v>-1829368.4667582139</v>
      </c>
    </row>
    <row r="135" spans="1:127" s="6" customFormat="1" x14ac:dyDescent="0.25">
      <c r="A135" s="154"/>
      <c r="B135" s="176">
        <v>102</v>
      </c>
      <c r="C135" s="177" t="s">
        <v>359</v>
      </c>
      <c r="D135" s="210" t="s">
        <v>360</v>
      </c>
      <c r="E135" s="158">
        <v>25969</v>
      </c>
      <c r="F135" s="179">
        <v>2.52</v>
      </c>
      <c r="G135" s="168">
        <v>1</v>
      </c>
      <c r="H135" s="169"/>
      <c r="I135" s="169"/>
      <c r="J135" s="169"/>
      <c r="K135" s="106"/>
      <c r="L135" s="180">
        <v>1.4</v>
      </c>
      <c r="M135" s="180">
        <v>1.68</v>
      </c>
      <c r="N135" s="180">
        <v>2.23</v>
      </c>
      <c r="O135" s="181">
        <v>2.57</v>
      </c>
      <c r="P135" s="244">
        <v>150</v>
      </c>
      <c r="Q135" s="182">
        <f t="shared" si="546"/>
        <v>15117074.279999999</v>
      </c>
      <c r="R135" s="182">
        <v>1700</v>
      </c>
      <c r="S135" s="182">
        <f t="shared" si="547"/>
        <v>171326841.83999997</v>
      </c>
      <c r="T135" s="182">
        <v>2</v>
      </c>
      <c r="U135" s="182">
        <f t="shared" si="548"/>
        <v>231337.04579999996</v>
      </c>
      <c r="V135" s="182"/>
      <c r="W135" s="183">
        <f t="shared" si="549"/>
        <v>0</v>
      </c>
      <c r="X135" s="183"/>
      <c r="Y135" s="183">
        <v>0</v>
      </c>
      <c r="Z135" s="183"/>
      <c r="AA135" s="183">
        <v>0</v>
      </c>
      <c r="AB135" s="182">
        <f t="shared" si="497"/>
        <v>0</v>
      </c>
      <c r="AC135" s="182">
        <f t="shared" si="497"/>
        <v>0</v>
      </c>
      <c r="AD135" s="182"/>
      <c r="AE135" s="182">
        <f t="shared" si="550"/>
        <v>0</v>
      </c>
      <c r="AF135" s="182"/>
      <c r="AG135" s="182"/>
      <c r="AH135" s="182">
        <v>10</v>
      </c>
      <c r="AI135" s="182">
        <f t="shared" si="551"/>
        <v>1007804.9520000002</v>
      </c>
      <c r="AJ135" s="182"/>
      <c r="AK135" s="182"/>
      <c r="AL135" s="182"/>
      <c r="AM135" s="182"/>
      <c r="AN135" s="184"/>
      <c r="AO135" s="182">
        <f t="shared" si="552"/>
        <v>0</v>
      </c>
      <c r="AP135" s="182">
        <v>11</v>
      </c>
      <c r="AQ135" s="183">
        <f t="shared" si="553"/>
        <v>1108585.4472000001</v>
      </c>
      <c r="AR135" s="182">
        <v>12</v>
      </c>
      <c r="AS135" s="182">
        <f t="shared" si="554"/>
        <v>1305547.1822736</v>
      </c>
      <c r="AT135" s="182">
        <v>1087</v>
      </c>
      <c r="AU135" s="182">
        <f t="shared" si="555"/>
        <v>137720202.98884213</v>
      </c>
      <c r="AV135" s="188"/>
      <c r="AW135" s="182">
        <f t="shared" si="556"/>
        <v>0</v>
      </c>
      <c r="AX135" s="182">
        <v>11</v>
      </c>
      <c r="AY135" s="187">
        <f t="shared" si="557"/>
        <v>1330302.5366400001</v>
      </c>
      <c r="AZ135" s="182"/>
      <c r="BA135" s="182">
        <f t="shared" si="558"/>
        <v>0</v>
      </c>
      <c r="BB135" s="182"/>
      <c r="BC135" s="182">
        <f t="shared" si="559"/>
        <v>0</v>
      </c>
      <c r="BD135" s="182"/>
      <c r="BE135" s="182">
        <f t="shared" si="560"/>
        <v>0</v>
      </c>
      <c r="BF135" s="182"/>
      <c r="BG135" s="182">
        <f t="shared" si="561"/>
        <v>0</v>
      </c>
      <c r="BH135" s="182"/>
      <c r="BI135" s="183">
        <f t="shared" si="562"/>
        <v>0</v>
      </c>
      <c r="BJ135" s="182"/>
      <c r="BK135" s="183">
        <f t="shared" si="563"/>
        <v>0</v>
      </c>
      <c r="BL135" s="182"/>
      <c r="BM135" s="182">
        <f t="shared" si="564"/>
        <v>0</v>
      </c>
      <c r="BN135" s="182">
        <v>364</v>
      </c>
      <c r="BO135" s="182">
        <f t="shared" si="565"/>
        <v>44020920.30336</v>
      </c>
      <c r="BP135" s="182"/>
      <c r="BQ135" s="182">
        <f t="shared" si="590"/>
        <v>0</v>
      </c>
      <c r="BR135" s="182"/>
      <c r="BS135" s="183">
        <f t="shared" si="567"/>
        <v>0</v>
      </c>
      <c r="BT135" s="182">
        <v>6</v>
      </c>
      <c r="BU135" s="182">
        <f t="shared" si="568"/>
        <v>734855.60308446724</v>
      </c>
      <c r="BV135" s="182">
        <v>18</v>
      </c>
      <c r="BW135" s="182">
        <f t="shared" si="569"/>
        <v>1781066.2060800001</v>
      </c>
      <c r="BX135" s="182">
        <v>71</v>
      </c>
      <c r="BY135" s="183">
        <f t="shared" si="570"/>
        <v>10527671.254810752</v>
      </c>
      <c r="BZ135" s="182">
        <v>63</v>
      </c>
      <c r="CA135" s="187">
        <f t="shared" si="571"/>
        <v>9052244.2553709596</v>
      </c>
      <c r="CB135" s="182"/>
      <c r="CC135" s="182">
        <f t="shared" si="572"/>
        <v>0</v>
      </c>
      <c r="CD135" s="182"/>
      <c r="CE135" s="182">
        <f t="shared" si="573"/>
        <v>0</v>
      </c>
      <c r="CF135" s="182"/>
      <c r="CG135" s="182">
        <f t="shared" si="574"/>
        <v>0</v>
      </c>
      <c r="CH135" s="182"/>
      <c r="CI135" s="182">
        <f t="shared" si="575"/>
        <v>0</v>
      </c>
      <c r="CJ135" s="182"/>
      <c r="CK135" s="182"/>
      <c r="CL135" s="182"/>
      <c r="CM135" s="183">
        <f t="shared" si="576"/>
        <v>0</v>
      </c>
      <c r="CN135" s="182"/>
      <c r="CO135" s="183">
        <f t="shared" si="577"/>
        <v>0</v>
      </c>
      <c r="CP135" s="182">
        <v>8</v>
      </c>
      <c r="CQ135" s="182">
        <f t="shared" si="578"/>
        <v>812342.09774591995</v>
      </c>
      <c r="CR135" s="182">
        <v>256</v>
      </c>
      <c r="CS135" s="182">
        <f t="shared" si="579"/>
        <v>28118701.221918721</v>
      </c>
      <c r="CT135" s="182">
        <v>20</v>
      </c>
      <c r="CU135" s="182">
        <f t="shared" si="580"/>
        <v>1923606.4737455999</v>
      </c>
      <c r="CV135" s="182">
        <v>93</v>
      </c>
      <c r="CW135" s="182">
        <v>9180187.0600000042</v>
      </c>
      <c r="CX135" s="182"/>
      <c r="CY135" s="182">
        <f t="shared" si="589"/>
        <v>0</v>
      </c>
      <c r="CZ135" s="182">
        <v>1</v>
      </c>
      <c r="DA135" s="182">
        <v>54971.18</v>
      </c>
      <c r="DB135" s="188"/>
      <c r="DC135" s="182">
        <f t="shared" si="582"/>
        <v>0</v>
      </c>
      <c r="DD135" s="182"/>
      <c r="DE135" s="187">
        <f t="shared" si="583"/>
        <v>0</v>
      </c>
      <c r="DF135" s="182">
        <v>90</v>
      </c>
      <c r="DG135" s="182">
        <f t="shared" si="584"/>
        <v>9894812.2559999991</v>
      </c>
      <c r="DH135" s="189"/>
      <c r="DI135" s="182">
        <f t="shared" si="585"/>
        <v>0</v>
      </c>
      <c r="DJ135" s="182">
        <v>30</v>
      </c>
      <c r="DK135" s="182">
        <f t="shared" si="586"/>
        <v>3594098.1528647998</v>
      </c>
      <c r="DL135" s="182"/>
      <c r="DM135" s="182">
        <f t="shared" si="587"/>
        <v>0</v>
      </c>
      <c r="DN135" s="182"/>
      <c r="DO135" s="190">
        <f t="shared" si="588"/>
        <v>0</v>
      </c>
      <c r="DP135" s="187"/>
      <c r="DQ135" s="187"/>
      <c r="DR135" s="183">
        <f t="shared" si="488"/>
        <v>4003</v>
      </c>
      <c r="DS135" s="183">
        <f t="shared" si="488"/>
        <v>448843172.3377369</v>
      </c>
      <c r="DT135" s="182">
        <v>4032</v>
      </c>
      <c r="DU135" s="182">
        <v>442144494.07128</v>
      </c>
      <c r="DV135" s="167">
        <f t="shared" si="319"/>
        <v>-29</v>
      </c>
      <c r="DW135" s="167">
        <f t="shared" si="319"/>
        <v>6698678.266456902</v>
      </c>
    </row>
    <row r="136" spans="1:127" s="6" customFormat="1" ht="16.5" customHeight="1" x14ac:dyDescent="0.25">
      <c r="A136" s="154"/>
      <c r="B136" s="176">
        <v>103</v>
      </c>
      <c r="C136" s="177" t="s">
        <v>361</v>
      </c>
      <c r="D136" s="210" t="s">
        <v>362</v>
      </c>
      <c r="E136" s="158">
        <v>25969</v>
      </c>
      <c r="F136" s="179">
        <v>3.12</v>
      </c>
      <c r="G136" s="168">
        <v>1</v>
      </c>
      <c r="H136" s="169"/>
      <c r="I136" s="169"/>
      <c r="J136" s="169"/>
      <c r="K136" s="106"/>
      <c r="L136" s="180">
        <v>1.4</v>
      </c>
      <c r="M136" s="180">
        <v>1.68</v>
      </c>
      <c r="N136" s="180">
        <v>2.23</v>
      </c>
      <c r="O136" s="181">
        <v>2.57</v>
      </c>
      <c r="P136" s="182">
        <v>2</v>
      </c>
      <c r="Q136" s="182">
        <f t="shared" si="546"/>
        <v>249551.70240000001</v>
      </c>
      <c r="R136" s="182">
        <v>140</v>
      </c>
      <c r="S136" s="182">
        <f t="shared" si="547"/>
        <v>17468619.168000001</v>
      </c>
      <c r="T136" s="182"/>
      <c r="U136" s="182">
        <f t="shared" si="548"/>
        <v>0</v>
      </c>
      <c r="V136" s="182"/>
      <c r="W136" s="183">
        <f t="shared" si="549"/>
        <v>0</v>
      </c>
      <c r="X136" s="183"/>
      <c r="Y136" s="183">
        <v>0</v>
      </c>
      <c r="Z136" s="183"/>
      <c r="AA136" s="183">
        <v>0</v>
      </c>
      <c r="AB136" s="182">
        <f t="shared" si="497"/>
        <v>0</v>
      </c>
      <c r="AC136" s="182">
        <f t="shared" si="497"/>
        <v>0</v>
      </c>
      <c r="AD136" s="182"/>
      <c r="AE136" s="182">
        <f t="shared" si="550"/>
        <v>0</v>
      </c>
      <c r="AF136" s="182"/>
      <c r="AG136" s="182"/>
      <c r="AH136" s="182"/>
      <c r="AI136" s="182">
        <f t="shared" si="551"/>
        <v>0</v>
      </c>
      <c r="AJ136" s="182"/>
      <c r="AK136" s="182"/>
      <c r="AL136" s="182"/>
      <c r="AM136" s="182"/>
      <c r="AN136" s="184"/>
      <c r="AO136" s="182">
        <f t="shared" si="552"/>
        <v>0</v>
      </c>
      <c r="AP136" s="182"/>
      <c r="AQ136" s="183">
        <f t="shared" si="553"/>
        <v>0</v>
      </c>
      <c r="AR136" s="182"/>
      <c r="AS136" s="182">
        <f t="shared" si="554"/>
        <v>0</v>
      </c>
      <c r="AT136" s="182">
        <f>11-5</f>
        <v>6</v>
      </c>
      <c r="AU136" s="182">
        <f t="shared" si="555"/>
        <v>941181.56859242893</v>
      </c>
      <c r="AV136" s="188"/>
      <c r="AW136" s="182">
        <f t="shared" si="556"/>
        <v>0</v>
      </c>
      <c r="AX136" s="182"/>
      <c r="AY136" s="187">
        <f t="shared" si="557"/>
        <v>0</v>
      </c>
      <c r="AZ136" s="182"/>
      <c r="BA136" s="182">
        <f t="shared" si="558"/>
        <v>0</v>
      </c>
      <c r="BB136" s="182">
        <v>0</v>
      </c>
      <c r="BC136" s="182">
        <f t="shared" si="559"/>
        <v>0</v>
      </c>
      <c r="BD136" s="182"/>
      <c r="BE136" s="182">
        <f t="shared" si="560"/>
        <v>0</v>
      </c>
      <c r="BF136" s="182"/>
      <c r="BG136" s="182">
        <f t="shared" si="561"/>
        <v>0</v>
      </c>
      <c r="BH136" s="182"/>
      <c r="BI136" s="183">
        <f t="shared" si="562"/>
        <v>0</v>
      </c>
      <c r="BJ136" s="182"/>
      <c r="BK136" s="183">
        <f t="shared" si="563"/>
        <v>0</v>
      </c>
      <c r="BL136" s="182"/>
      <c r="BM136" s="182">
        <f t="shared" si="564"/>
        <v>0</v>
      </c>
      <c r="BN136" s="182">
        <v>15</v>
      </c>
      <c r="BO136" s="182">
        <f t="shared" si="565"/>
        <v>2245965.3215999999</v>
      </c>
      <c r="BP136" s="182"/>
      <c r="BQ136" s="182">
        <f t="shared" si="590"/>
        <v>0</v>
      </c>
      <c r="BR136" s="182"/>
      <c r="BS136" s="183">
        <f t="shared" si="567"/>
        <v>0</v>
      </c>
      <c r="BT136" s="182"/>
      <c r="BU136" s="182">
        <f t="shared" si="568"/>
        <v>0</v>
      </c>
      <c r="BV136" s="182"/>
      <c r="BW136" s="182">
        <f t="shared" si="569"/>
        <v>0</v>
      </c>
      <c r="BX136" s="182"/>
      <c r="BY136" s="183">
        <f t="shared" si="570"/>
        <v>0</v>
      </c>
      <c r="BZ136" s="182">
        <v>5</v>
      </c>
      <c r="CA136" s="187">
        <f t="shared" si="571"/>
        <v>889487.34179759992</v>
      </c>
      <c r="CB136" s="182"/>
      <c r="CC136" s="182">
        <f t="shared" si="572"/>
        <v>0</v>
      </c>
      <c r="CD136" s="182"/>
      <c r="CE136" s="182">
        <f t="shared" si="573"/>
        <v>0</v>
      </c>
      <c r="CF136" s="182"/>
      <c r="CG136" s="182">
        <f t="shared" si="574"/>
        <v>0</v>
      </c>
      <c r="CH136" s="182"/>
      <c r="CI136" s="182">
        <f t="shared" si="575"/>
        <v>0</v>
      </c>
      <c r="CJ136" s="182"/>
      <c r="CK136" s="182"/>
      <c r="CL136" s="182"/>
      <c r="CM136" s="183">
        <f t="shared" si="576"/>
        <v>0</v>
      </c>
      <c r="CN136" s="182"/>
      <c r="CO136" s="183">
        <f t="shared" si="577"/>
        <v>0</v>
      </c>
      <c r="CP136" s="182"/>
      <c r="CQ136" s="182">
        <f t="shared" si="578"/>
        <v>0</v>
      </c>
      <c r="CR136" s="182"/>
      <c r="CS136" s="182">
        <f t="shared" si="579"/>
        <v>0</v>
      </c>
      <c r="CT136" s="182"/>
      <c r="CU136" s="182">
        <f t="shared" si="580"/>
        <v>0</v>
      </c>
      <c r="CV136" s="182"/>
      <c r="CW136" s="182">
        <v>0</v>
      </c>
      <c r="CX136" s="182"/>
      <c r="CY136" s="182">
        <f t="shared" si="589"/>
        <v>0</v>
      </c>
      <c r="CZ136" s="182"/>
      <c r="DA136" s="182">
        <v>0</v>
      </c>
      <c r="DB136" s="188"/>
      <c r="DC136" s="182">
        <f t="shared" si="582"/>
        <v>0</v>
      </c>
      <c r="DD136" s="182"/>
      <c r="DE136" s="187">
        <f t="shared" si="583"/>
        <v>0</v>
      </c>
      <c r="DF136" s="182">
        <v>2</v>
      </c>
      <c r="DG136" s="182">
        <f t="shared" si="584"/>
        <v>272238.22080000001</v>
      </c>
      <c r="DH136" s="189"/>
      <c r="DI136" s="182">
        <f t="shared" si="585"/>
        <v>0</v>
      </c>
      <c r="DJ136" s="182"/>
      <c r="DK136" s="182">
        <f t="shared" si="586"/>
        <v>0</v>
      </c>
      <c r="DL136" s="182"/>
      <c r="DM136" s="182">
        <f t="shared" si="587"/>
        <v>0</v>
      </c>
      <c r="DN136" s="182"/>
      <c r="DO136" s="190">
        <f t="shared" si="588"/>
        <v>0</v>
      </c>
      <c r="DP136" s="187"/>
      <c r="DQ136" s="187"/>
      <c r="DR136" s="183">
        <f t="shared" si="488"/>
        <v>170</v>
      </c>
      <c r="DS136" s="183">
        <f t="shared" si="488"/>
        <v>22067043.323190033</v>
      </c>
      <c r="DT136" s="182">
        <v>158</v>
      </c>
      <c r="DU136" s="182">
        <v>20474582.856000002</v>
      </c>
      <c r="DV136" s="167">
        <f t="shared" si="319"/>
        <v>12</v>
      </c>
      <c r="DW136" s="167">
        <f t="shared" si="319"/>
        <v>1592460.467190031</v>
      </c>
    </row>
    <row r="137" spans="1:127" ht="16.5" customHeight="1" x14ac:dyDescent="0.25">
      <c r="A137" s="154"/>
      <c r="B137" s="176">
        <v>104</v>
      </c>
      <c r="C137" s="177" t="s">
        <v>363</v>
      </c>
      <c r="D137" s="210" t="s">
        <v>364</v>
      </c>
      <c r="E137" s="158">
        <v>25969</v>
      </c>
      <c r="F137" s="179">
        <v>4.51</v>
      </c>
      <c r="G137" s="168">
        <v>1</v>
      </c>
      <c r="H137" s="169"/>
      <c r="I137" s="169"/>
      <c r="J137" s="169"/>
      <c r="K137" s="106"/>
      <c r="L137" s="180">
        <v>1.4</v>
      </c>
      <c r="M137" s="180">
        <v>1.68</v>
      </c>
      <c r="N137" s="180">
        <v>2.23</v>
      </c>
      <c r="O137" s="181">
        <v>2.57</v>
      </c>
      <c r="P137" s="182">
        <v>180</v>
      </c>
      <c r="Q137" s="182">
        <f t="shared" si="546"/>
        <v>32465716.667999998</v>
      </c>
      <c r="R137" s="182">
        <v>275</v>
      </c>
      <c r="S137" s="182">
        <f t="shared" si="547"/>
        <v>49600400.465000004</v>
      </c>
      <c r="T137" s="182">
        <v>2</v>
      </c>
      <c r="U137" s="182">
        <f t="shared" si="548"/>
        <v>414019.87164999987</v>
      </c>
      <c r="V137" s="182"/>
      <c r="W137" s="183">
        <f t="shared" si="549"/>
        <v>0</v>
      </c>
      <c r="X137" s="183"/>
      <c r="Y137" s="183">
        <v>0</v>
      </c>
      <c r="Z137" s="183"/>
      <c r="AA137" s="183">
        <v>0</v>
      </c>
      <c r="AB137" s="182">
        <f t="shared" si="497"/>
        <v>0</v>
      </c>
      <c r="AC137" s="182">
        <f t="shared" si="497"/>
        <v>0</v>
      </c>
      <c r="AD137" s="182"/>
      <c r="AE137" s="182">
        <f t="shared" si="550"/>
        <v>0</v>
      </c>
      <c r="AF137" s="182"/>
      <c r="AG137" s="182"/>
      <c r="AH137" s="182"/>
      <c r="AI137" s="182">
        <f t="shared" si="551"/>
        <v>0</v>
      </c>
      <c r="AJ137" s="182"/>
      <c r="AK137" s="182"/>
      <c r="AL137" s="182"/>
      <c r="AM137" s="182"/>
      <c r="AN137" s="184"/>
      <c r="AO137" s="182">
        <f t="shared" si="552"/>
        <v>0</v>
      </c>
      <c r="AP137" s="182"/>
      <c r="AQ137" s="183">
        <f t="shared" si="553"/>
        <v>0</v>
      </c>
      <c r="AR137" s="182"/>
      <c r="AS137" s="182">
        <f t="shared" si="554"/>
        <v>0</v>
      </c>
      <c r="AT137" s="182">
        <v>4</v>
      </c>
      <c r="AU137" s="182">
        <f t="shared" si="555"/>
        <v>906993.34922048147</v>
      </c>
      <c r="AV137" s="188"/>
      <c r="AW137" s="182">
        <f t="shared" si="556"/>
        <v>0</v>
      </c>
      <c r="AX137" s="182"/>
      <c r="AY137" s="187">
        <f t="shared" si="557"/>
        <v>0</v>
      </c>
      <c r="AZ137" s="182"/>
      <c r="BA137" s="182">
        <f t="shared" si="558"/>
        <v>0</v>
      </c>
      <c r="BB137" s="182">
        <v>0</v>
      </c>
      <c r="BC137" s="182">
        <f t="shared" si="559"/>
        <v>0</v>
      </c>
      <c r="BD137" s="182"/>
      <c r="BE137" s="182">
        <f t="shared" si="560"/>
        <v>0</v>
      </c>
      <c r="BF137" s="182"/>
      <c r="BG137" s="182">
        <f t="shared" si="561"/>
        <v>0</v>
      </c>
      <c r="BH137" s="182"/>
      <c r="BI137" s="183">
        <f t="shared" si="562"/>
        <v>0</v>
      </c>
      <c r="BJ137" s="182"/>
      <c r="BK137" s="183">
        <f t="shared" si="563"/>
        <v>0</v>
      </c>
      <c r="BL137" s="182"/>
      <c r="BM137" s="182">
        <f t="shared" si="564"/>
        <v>0</v>
      </c>
      <c r="BN137" s="182">
        <v>15</v>
      </c>
      <c r="BO137" s="182">
        <f t="shared" si="565"/>
        <v>3246571.6667999998</v>
      </c>
      <c r="BP137" s="182"/>
      <c r="BQ137" s="182">
        <f t="shared" si="590"/>
        <v>0</v>
      </c>
      <c r="BR137" s="182"/>
      <c r="BS137" s="183">
        <f t="shared" si="567"/>
        <v>0</v>
      </c>
      <c r="BT137" s="182"/>
      <c r="BU137" s="182">
        <f t="shared" si="568"/>
        <v>0</v>
      </c>
      <c r="BV137" s="182"/>
      <c r="BW137" s="182">
        <f t="shared" si="569"/>
        <v>0</v>
      </c>
      <c r="BX137" s="182"/>
      <c r="BY137" s="183">
        <f t="shared" si="570"/>
        <v>0</v>
      </c>
      <c r="BZ137" s="182"/>
      <c r="CA137" s="187">
        <f t="shared" si="571"/>
        <v>0</v>
      </c>
      <c r="CB137" s="182"/>
      <c r="CC137" s="182">
        <f t="shared" si="572"/>
        <v>0</v>
      </c>
      <c r="CD137" s="182"/>
      <c r="CE137" s="182">
        <f t="shared" si="573"/>
        <v>0</v>
      </c>
      <c r="CF137" s="182"/>
      <c r="CG137" s="182">
        <f t="shared" si="574"/>
        <v>0</v>
      </c>
      <c r="CH137" s="182"/>
      <c r="CI137" s="182">
        <f t="shared" si="575"/>
        <v>0</v>
      </c>
      <c r="CJ137" s="182"/>
      <c r="CK137" s="182"/>
      <c r="CL137" s="182"/>
      <c r="CM137" s="183">
        <f t="shared" si="576"/>
        <v>0</v>
      </c>
      <c r="CN137" s="182"/>
      <c r="CO137" s="183">
        <f t="shared" si="577"/>
        <v>0</v>
      </c>
      <c r="CP137" s="182"/>
      <c r="CQ137" s="182">
        <f t="shared" si="578"/>
        <v>0</v>
      </c>
      <c r="CR137" s="182"/>
      <c r="CS137" s="182">
        <f t="shared" si="579"/>
        <v>0</v>
      </c>
      <c r="CT137" s="182"/>
      <c r="CU137" s="182">
        <f t="shared" si="580"/>
        <v>0</v>
      </c>
      <c r="CV137" s="182">
        <v>3</v>
      </c>
      <c r="CW137" s="182">
        <v>570609.57000000007</v>
      </c>
      <c r="CX137" s="182"/>
      <c r="CY137" s="182">
        <f t="shared" si="589"/>
        <v>0</v>
      </c>
      <c r="CZ137" s="182"/>
      <c r="DA137" s="182">
        <v>0</v>
      </c>
      <c r="DB137" s="188"/>
      <c r="DC137" s="182">
        <f t="shared" si="582"/>
        <v>0</v>
      </c>
      <c r="DD137" s="182"/>
      <c r="DE137" s="187">
        <f t="shared" si="583"/>
        <v>0</v>
      </c>
      <c r="DF137" s="182"/>
      <c r="DG137" s="182">
        <f t="shared" si="584"/>
        <v>0</v>
      </c>
      <c r="DH137" s="189"/>
      <c r="DI137" s="182">
        <f t="shared" si="585"/>
        <v>0</v>
      </c>
      <c r="DJ137" s="182"/>
      <c r="DK137" s="182">
        <f t="shared" si="586"/>
        <v>0</v>
      </c>
      <c r="DL137" s="182"/>
      <c r="DM137" s="182">
        <f t="shared" si="587"/>
        <v>0</v>
      </c>
      <c r="DN137" s="182"/>
      <c r="DO137" s="190">
        <f t="shared" si="588"/>
        <v>0</v>
      </c>
      <c r="DP137" s="187"/>
      <c r="DQ137" s="187"/>
      <c r="DR137" s="183">
        <f t="shared" si="488"/>
        <v>479</v>
      </c>
      <c r="DS137" s="183">
        <f t="shared" si="488"/>
        <v>87204311.590670466</v>
      </c>
      <c r="DT137" s="182">
        <v>582</v>
      </c>
      <c r="DU137" s="182">
        <v>105756252.20900001</v>
      </c>
      <c r="DV137" s="167">
        <f t="shared" si="319"/>
        <v>-103</v>
      </c>
      <c r="DW137" s="167">
        <f t="shared" si="319"/>
        <v>-18551940.61832954</v>
      </c>
    </row>
    <row r="138" spans="1:127" ht="16.5" customHeight="1" x14ac:dyDescent="0.25">
      <c r="A138" s="154"/>
      <c r="B138" s="176">
        <v>105</v>
      </c>
      <c r="C138" s="177" t="s">
        <v>365</v>
      </c>
      <c r="D138" s="210" t="s">
        <v>366</v>
      </c>
      <c r="E138" s="158">
        <v>25969</v>
      </c>
      <c r="F138" s="179">
        <v>0.82</v>
      </c>
      <c r="G138" s="168">
        <v>1</v>
      </c>
      <c r="H138" s="169"/>
      <c r="I138" s="169"/>
      <c r="J138" s="169"/>
      <c r="K138" s="106"/>
      <c r="L138" s="180">
        <v>1.4</v>
      </c>
      <c r="M138" s="180">
        <v>1.68</v>
      </c>
      <c r="N138" s="180">
        <v>2.23</v>
      </c>
      <c r="O138" s="181">
        <v>2.57</v>
      </c>
      <c r="P138" s="182">
        <v>136</v>
      </c>
      <c r="Q138" s="182">
        <f t="shared" si="546"/>
        <v>4459936.8351999996</v>
      </c>
      <c r="R138" s="182">
        <v>250</v>
      </c>
      <c r="S138" s="182">
        <f t="shared" si="547"/>
        <v>8198413.2999999998</v>
      </c>
      <c r="T138" s="182">
        <v>3</v>
      </c>
      <c r="U138" s="182">
        <f t="shared" si="548"/>
        <v>112914.51044999997</v>
      </c>
      <c r="V138" s="182"/>
      <c r="W138" s="183">
        <f t="shared" si="549"/>
        <v>0</v>
      </c>
      <c r="X138" s="183"/>
      <c r="Y138" s="183">
        <v>0</v>
      </c>
      <c r="Z138" s="183"/>
      <c r="AA138" s="183">
        <v>0</v>
      </c>
      <c r="AB138" s="182">
        <f t="shared" si="497"/>
        <v>0</v>
      </c>
      <c r="AC138" s="182">
        <f t="shared" si="497"/>
        <v>0</v>
      </c>
      <c r="AD138" s="182"/>
      <c r="AE138" s="182">
        <f t="shared" si="550"/>
        <v>0</v>
      </c>
      <c r="AF138" s="182"/>
      <c r="AG138" s="182"/>
      <c r="AH138" s="182">
        <v>180</v>
      </c>
      <c r="AI138" s="182">
        <f t="shared" si="551"/>
        <v>5902857.5759999994</v>
      </c>
      <c r="AJ138" s="182"/>
      <c r="AK138" s="182"/>
      <c r="AL138" s="182"/>
      <c r="AM138" s="182"/>
      <c r="AN138" s="184"/>
      <c r="AO138" s="182">
        <f t="shared" si="552"/>
        <v>0</v>
      </c>
      <c r="AP138" s="182">
        <f>140+38+5</f>
        <v>183</v>
      </c>
      <c r="AQ138" s="183">
        <f t="shared" si="553"/>
        <v>6001238.5355999991</v>
      </c>
      <c r="AR138" s="182">
        <v>49</v>
      </c>
      <c r="AS138" s="182">
        <f t="shared" si="554"/>
        <v>1734685.3764468664</v>
      </c>
      <c r="AT138" s="182">
        <v>170</v>
      </c>
      <c r="AU138" s="182">
        <f t="shared" si="555"/>
        <v>7008584.9712491753</v>
      </c>
      <c r="AV138" s="188"/>
      <c r="AW138" s="182">
        <f t="shared" si="556"/>
        <v>0</v>
      </c>
      <c r="AX138" s="182">
        <v>130</v>
      </c>
      <c r="AY138" s="187">
        <f t="shared" si="557"/>
        <v>5115809.8991999999</v>
      </c>
      <c r="AZ138" s="182"/>
      <c r="BA138" s="182">
        <f t="shared" si="558"/>
        <v>0</v>
      </c>
      <c r="BB138" s="182"/>
      <c r="BC138" s="182">
        <f t="shared" si="559"/>
        <v>0</v>
      </c>
      <c r="BD138" s="182"/>
      <c r="BE138" s="182">
        <f t="shared" si="560"/>
        <v>0</v>
      </c>
      <c r="BF138" s="182"/>
      <c r="BG138" s="182">
        <f t="shared" si="561"/>
        <v>0</v>
      </c>
      <c r="BH138" s="182"/>
      <c r="BI138" s="183">
        <f t="shared" si="562"/>
        <v>0</v>
      </c>
      <c r="BJ138" s="182"/>
      <c r="BK138" s="183">
        <f t="shared" si="563"/>
        <v>0</v>
      </c>
      <c r="BL138" s="182">
        <v>46</v>
      </c>
      <c r="BM138" s="182">
        <f t="shared" si="564"/>
        <v>1914266.5417358559</v>
      </c>
      <c r="BN138" s="182">
        <v>423</v>
      </c>
      <c r="BO138" s="182">
        <f t="shared" si="565"/>
        <v>16646058.364320001</v>
      </c>
      <c r="BP138" s="182"/>
      <c r="BQ138" s="182">
        <f t="shared" si="590"/>
        <v>0</v>
      </c>
      <c r="BR138" s="182"/>
      <c r="BS138" s="183">
        <f t="shared" si="567"/>
        <v>0</v>
      </c>
      <c r="BT138" s="182">
        <v>40</v>
      </c>
      <c r="BU138" s="182">
        <f t="shared" si="568"/>
        <v>1594131.2024583679</v>
      </c>
      <c r="BV138" s="182">
        <v>680</v>
      </c>
      <c r="BW138" s="182">
        <f t="shared" si="569"/>
        <v>21894235.3728</v>
      </c>
      <c r="BX138" s="182">
        <v>143</v>
      </c>
      <c r="BY138" s="183">
        <f t="shared" si="570"/>
        <v>6899590.494853057</v>
      </c>
      <c r="BZ138" s="182">
        <v>369</v>
      </c>
      <c r="CA138" s="187">
        <f t="shared" si="571"/>
        <v>17252633.325712677</v>
      </c>
      <c r="CB138" s="182"/>
      <c r="CC138" s="182">
        <f t="shared" si="572"/>
        <v>0</v>
      </c>
      <c r="CD138" s="182"/>
      <c r="CE138" s="182">
        <f t="shared" si="573"/>
        <v>0</v>
      </c>
      <c r="CF138" s="182"/>
      <c r="CG138" s="182">
        <f t="shared" si="574"/>
        <v>0</v>
      </c>
      <c r="CH138" s="182">
        <v>258</v>
      </c>
      <c r="CI138" s="182">
        <f t="shared" si="575"/>
        <v>10286148.965691309</v>
      </c>
      <c r="CJ138" s="182"/>
      <c r="CK138" s="182"/>
      <c r="CL138" s="182"/>
      <c r="CM138" s="183">
        <f t="shared" si="576"/>
        <v>0</v>
      </c>
      <c r="CN138" s="182">
        <v>900</v>
      </c>
      <c r="CO138" s="183">
        <f t="shared" si="577"/>
        <v>21464936.640000001</v>
      </c>
      <c r="CP138" s="182">
        <v>193</v>
      </c>
      <c r="CQ138" s="182">
        <f t="shared" si="578"/>
        <v>6377046.6462931205</v>
      </c>
      <c r="CR138" s="182">
        <v>390</v>
      </c>
      <c r="CS138" s="182">
        <f t="shared" si="579"/>
        <v>13939051.107963799</v>
      </c>
      <c r="CT138" s="182">
        <v>204</v>
      </c>
      <c r="CU138" s="182">
        <f t="shared" si="580"/>
        <v>6384541.4866699185</v>
      </c>
      <c r="CV138" s="182">
        <v>304</v>
      </c>
      <c r="CW138" s="182">
        <v>10812960.520000007</v>
      </c>
      <c r="CX138" s="182">
        <v>100</v>
      </c>
      <c r="CY138" s="182">
        <f t="shared" si="589"/>
        <v>3860790.8287535999</v>
      </c>
      <c r="CZ138" s="182">
        <v>178</v>
      </c>
      <c r="DA138" s="182">
        <v>6296380.6599999862</v>
      </c>
      <c r="DB138" s="188"/>
      <c r="DC138" s="182">
        <f t="shared" si="582"/>
        <v>0</v>
      </c>
      <c r="DD138" s="182"/>
      <c r="DE138" s="187">
        <f t="shared" si="583"/>
        <v>0</v>
      </c>
      <c r="DF138" s="182"/>
      <c r="DG138" s="182">
        <f t="shared" si="584"/>
        <v>0</v>
      </c>
      <c r="DH138" s="189"/>
      <c r="DI138" s="182">
        <f t="shared" si="585"/>
        <v>0</v>
      </c>
      <c r="DJ138" s="182">
        <v>255</v>
      </c>
      <c r="DK138" s="182">
        <f t="shared" si="586"/>
        <v>9940819.0974077992</v>
      </c>
      <c r="DL138" s="182">
        <f>ROUND(5*0.75,0)</f>
        <v>4</v>
      </c>
      <c r="DM138" s="182">
        <f t="shared" si="587"/>
        <v>189947.65359999999</v>
      </c>
      <c r="DN138" s="182">
        <f>ROUND(50*0.75,0)</f>
        <v>38</v>
      </c>
      <c r="DO138" s="190">
        <f t="shared" si="588"/>
        <v>2079628.6827999996</v>
      </c>
      <c r="DP138" s="187"/>
      <c r="DQ138" s="187"/>
      <c r="DR138" s="183">
        <f t="shared" si="488"/>
        <v>5626</v>
      </c>
      <c r="DS138" s="183">
        <f t="shared" si="488"/>
        <v>196367608.59520555</v>
      </c>
      <c r="DT138" s="182">
        <v>5612</v>
      </c>
      <c r="DU138" s="182">
        <v>188109169.7725133</v>
      </c>
      <c r="DV138" s="167">
        <f t="shared" si="319"/>
        <v>14</v>
      </c>
      <c r="DW138" s="167">
        <f t="shared" si="319"/>
        <v>8258438.8226922452</v>
      </c>
    </row>
    <row r="139" spans="1:127" ht="15.75" customHeight="1" x14ac:dyDescent="0.25">
      <c r="A139" s="170">
        <v>16</v>
      </c>
      <c r="B139" s="197"/>
      <c r="C139" s="198"/>
      <c r="D139" s="245" t="s">
        <v>367</v>
      </c>
      <c r="E139" s="158">
        <v>25969</v>
      </c>
      <c r="F139" s="199">
        <v>1.2</v>
      </c>
      <c r="G139" s="171"/>
      <c r="H139" s="169"/>
      <c r="I139" s="169"/>
      <c r="J139" s="169"/>
      <c r="K139" s="173"/>
      <c r="L139" s="174">
        <v>1.4</v>
      </c>
      <c r="M139" s="174">
        <v>1.68</v>
      </c>
      <c r="N139" s="174">
        <v>2.23</v>
      </c>
      <c r="O139" s="175">
        <v>2.57</v>
      </c>
      <c r="P139" s="166">
        <f t="shared" ref="P139:AD139" si="591">SUM(P140:P151)</f>
        <v>123</v>
      </c>
      <c r="Q139" s="166">
        <f t="shared" si="591"/>
        <v>5822691.273000001</v>
      </c>
      <c r="R139" s="166">
        <f t="shared" ref="R139" si="592">SUM(R140:R151)</f>
        <v>1636</v>
      </c>
      <c r="S139" s="166">
        <f t="shared" si="591"/>
        <v>131240054.68000002</v>
      </c>
      <c r="T139" s="166">
        <f t="shared" si="591"/>
        <v>258</v>
      </c>
      <c r="U139" s="166">
        <f t="shared" si="591"/>
        <v>11022310.40652</v>
      </c>
      <c r="V139" s="166">
        <f t="shared" si="591"/>
        <v>0</v>
      </c>
      <c r="W139" s="166">
        <f t="shared" si="591"/>
        <v>0</v>
      </c>
      <c r="X139" s="166">
        <v>3</v>
      </c>
      <c r="Y139" s="166">
        <v>155751.67439999999</v>
      </c>
      <c r="Z139" s="166">
        <v>0</v>
      </c>
      <c r="AA139" s="166">
        <v>0</v>
      </c>
      <c r="AB139" s="166">
        <f t="shared" si="591"/>
        <v>3</v>
      </c>
      <c r="AC139" s="166">
        <f t="shared" si="591"/>
        <v>155751.67439999999</v>
      </c>
      <c r="AD139" s="166">
        <f t="shared" si="591"/>
        <v>0</v>
      </c>
      <c r="AE139" s="166">
        <f t="shared" ref="AE139:CP139" si="593">SUM(AE140:AE151)</f>
        <v>0</v>
      </c>
      <c r="AF139" s="166">
        <f t="shared" si="593"/>
        <v>0</v>
      </c>
      <c r="AG139" s="166">
        <f t="shared" si="593"/>
        <v>0</v>
      </c>
      <c r="AH139" s="166">
        <f t="shared" si="593"/>
        <v>214</v>
      </c>
      <c r="AI139" s="166">
        <f t="shared" si="593"/>
        <v>5348492.1391999992</v>
      </c>
      <c r="AJ139" s="166">
        <f>SUM(AJ140:AJ151)</f>
        <v>0</v>
      </c>
      <c r="AK139" s="166">
        <f>SUM(AK140:AK151)</f>
        <v>0</v>
      </c>
      <c r="AL139" s="166">
        <f t="shared" si="593"/>
        <v>0</v>
      </c>
      <c r="AM139" s="166">
        <f t="shared" si="593"/>
        <v>0</v>
      </c>
      <c r="AN139" s="166">
        <f t="shared" si="593"/>
        <v>2</v>
      </c>
      <c r="AO139" s="166">
        <f t="shared" si="593"/>
        <v>71586.105199999991</v>
      </c>
      <c r="AP139" s="166">
        <f t="shared" si="593"/>
        <v>70</v>
      </c>
      <c r="AQ139" s="166">
        <f t="shared" si="593"/>
        <v>1730574.1600000001</v>
      </c>
      <c r="AR139" s="166">
        <f t="shared" si="593"/>
        <v>0</v>
      </c>
      <c r="AS139" s="166">
        <f t="shared" si="593"/>
        <v>0</v>
      </c>
      <c r="AT139" s="166">
        <f t="shared" si="593"/>
        <v>773</v>
      </c>
      <c r="AU139" s="166">
        <f t="shared" si="593"/>
        <v>64599427.409136675</v>
      </c>
      <c r="AV139" s="166">
        <f t="shared" si="593"/>
        <v>0</v>
      </c>
      <c r="AW139" s="166">
        <f t="shared" si="593"/>
        <v>0</v>
      </c>
      <c r="AX139" s="166">
        <f t="shared" si="593"/>
        <v>122</v>
      </c>
      <c r="AY139" s="166">
        <f t="shared" si="593"/>
        <v>3594940.6080000005</v>
      </c>
      <c r="AZ139" s="166">
        <f t="shared" si="593"/>
        <v>0</v>
      </c>
      <c r="BA139" s="166">
        <f t="shared" si="593"/>
        <v>0</v>
      </c>
      <c r="BB139" s="166">
        <f t="shared" si="593"/>
        <v>0</v>
      </c>
      <c r="BC139" s="166">
        <f t="shared" si="593"/>
        <v>0</v>
      </c>
      <c r="BD139" s="166">
        <f t="shared" si="593"/>
        <v>0</v>
      </c>
      <c r="BE139" s="166">
        <f t="shared" si="593"/>
        <v>0</v>
      </c>
      <c r="BF139" s="166">
        <f t="shared" si="593"/>
        <v>0</v>
      </c>
      <c r="BG139" s="166">
        <f t="shared" si="593"/>
        <v>0</v>
      </c>
      <c r="BH139" s="166">
        <f t="shared" si="593"/>
        <v>0</v>
      </c>
      <c r="BI139" s="166">
        <f t="shared" si="593"/>
        <v>0</v>
      </c>
      <c r="BJ139" s="166">
        <f t="shared" si="593"/>
        <v>0</v>
      </c>
      <c r="BK139" s="166">
        <f t="shared" si="593"/>
        <v>0</v>
      </c>
      <c r="BL139" s="166">
        <f t="shared" si="593"/>
        <v>45</v>
      </c>
      <c r="BM139" s="166">
        <f t="shared" si="593"/>
        <v>1156097.561644732</v>
      </c>
      <c r="BN139" s="166">
        <f t="shared" si="593"/>
        <v>118</v>
      </c>
      <c r="BO139" s="166">
        <f t="shared" si="593"/>
        <v>3542281.7085599997</v>
      </c>
      <c r="BP139" s="166">
        <f t="shared" si="593"/>
        <v>21</v>
      </c>
      <c r="BQ139" s="166">
        <f t="shared" si="593"/>
        <v>671951.96013145195</v>
      </c>
      <c r="BR139" s="166">
        <f t="shared" si="593"/>
        <v>0</v>
      </c>
      <c r="BS139" s="166">
        <f t="shared" si="593"/>
        <v>0</v>
      </c>
      <c r="BT139" s="166">
        <f t="shared" si="593"/>
        <v>76</v>
      </c>
      <c r="BU139" s="166">
        <f t="shared" si="593"/>
        <v>2462450.6682617902</v>
      </c>
      <c r="BV139" s="166">
        <f t="shared" si="593"/>
        <v>677</v>
      </c>
      <c r="BW139" s="166">
        <f t="shared" si="593"/>
        <v>20109504.421439998</v>
      </c>
      <c r="BX139" s="166">
        <f t="shared" si="593"/>
        <v>84</v>
      </c>
      <c r="BY139" s="166">
        <f t="shared" si="593"/>
        <v>2599619.2094194563</v>
      </c>
      <c r="BZ139" s="166">
        <f t="shared" si="593"/>
        <v>123</v>
      </c>
      <c r="CA139" s="166">
        <f t="shared" si="593"/>
        <v>3565806.98462898</v>
      </c>
      <c r="CB139" s="166">
        <f t="shared" si="593"/>
        <v>0</v>
      </c>
      <c r="CC139" s="166">
        <f t="shared" si="593"/>
        <v>0</v>
      </c>
      <c r="CD139" s="166">
        <f t="shared" si="593"/>
        <v>0</v>
      </c>
      <c r="CE139" s="166">
        <f t="shared" si="593"/>
        <v>0</v>
      </c>
      <c r="CF139" s="166">
        <f t="shared" si="593"/>
        <v>0</v>
      </c>
      <c r="CG139" s="166">
        <f t="shared" si="593"/>
        <v>0</v>
      </c>
      <c r="CH139" s="166">
        <f t="shared" si="593"/>
        <v>244</v>
      </c>
      <c r="CI139" s="166">
        <f t="shared" si="593"/>
        <v>7005958.6708093919</v>
      </c>
      <c r="CJ139" s="166">
        <f t="shared" si="593"/>
        <v>0</v>
      </c>
      <c r="CK139" s="166">
        <f t="shared" si="593"/>
        <v>0</v>
      </c>
      <c r="CL139" s="166">
        <f t="shared" si="593"/>
        <v>120</v>
      </c>
      <c r="CM139" s="166">
        <f t="shared" si="593"/>
        <v>2966698.5600000005</v>
      </c>
      <c r="CN139" s="166">
        <f t="shared" si="593"/>
        <v>110</v>
      </c>
      <c r="CO139" s="166">
        <f t="shared" si="593"/>
        <v>2719473.68</v>
      </c>
      <c r="CP139" s="166">
        <f t="shared" si="593"/>
        <v>97</v>
      </c>
      <c r="CQ139" s="166">
        <f t="shared" ref="CQ139:DQ139" si="594">SUM(CQ140:CQ151)</f>
        <v>2031606.8080000002</v>
      </c>
      <c r="CR139" s="166">
        <f t="shared" si="594"/>
        <v>172</v>
      </c>
      <c r="CS139" s="166">
        <f t="shared" si="594"/>
        <v>4151091.67194155</v>
      </c>
      <c r="CT139" s="166">
        <f t="shared" si="594"/>
        <v>158</v>
      </c>
      <c r="CU139" s="166">
        <f t="shared" si="594"/>
        <v>3832735.8729836405</v>
      </c>
      <c r="CV139" s="166">
        <f t="shared" si="594"/>
        <v>313</v>
      </c>
      <c r="CW139" s="166">
        <v>9194367.21000004</v>
      </c>
      <c r="CX139" s="166">
        <f t="shared" si="594"/>
        <v>123</v>
      </c>
      <c r="CY139" s="166">
        <f t="shared" si="594"/>
        <v>6690758.8164761905</v>
      </c>
      <c r="CZ139" s="166">
        <f t="shared" si="594"/>
        <v>111</v>
      </c>
      <c r="DA139" s="166">
        <v>3283874.0200000079</v>
      </c>
      <c r="DB139" s="166">
        <f t="shared" si="594"/>
        <v>0</v>
      </c>
      <c r="DC139" s="166">
        <f t="shared" si="594"/>
        <v>0</v>
      </c>
      <c r="DD139" s="166">
        <f t="shared" si="594"/>
        <v>0</v>
      </c>
      <c r="DE139" s="166">
        <f t="shared" si="594"/>
        <v>0</v>
      </c>
      <c r="DF139" s="166">
        <f t="shared" si="594"/>
        <v>0</v>
      </c>
      <c r="DG139" s="166">
        <f t="shared" si="594"/>
        <v>0</v>
      </c>
      <c r="DH139" s="166">
        <f t="shared" si="594"/>
        <v>23</v>
      </c>
      <c r="DI139" s="166">
        <f t="shared" si="594"/>
        <v>572398.31039999996</v>
      </c>
      <c r="DJ139" s="166">
        <f t="shared" si="594"/>
        <v>220</v>
      </c>
      <c r="DK139" s="166">
        <f t="shared" si="594"/>
        <v>6408676.2266030004</v>
      </c>
      <c r="DL139" s="166">
        <f t="shared" si="594"/>
        <v>73</v>
      </c>
      <c r="DM139" s="166">
        <f t="shared" si="594"/>
        <v>2793620.3688000003</v>
      </c>
      <c r="DN139" s="166">
        <f t="shared" si="594"/>
        <v>34</v>
      </c>
      <c r="DO139" s="166">
        <f t="shared" si="594"/>
        <v>1798251.4515199999</v>
      </c>
      <c r="DP139" s="166">
        <f t="shared" si="594"/>
        <v>0</v>
      </c>
      <c r="DQ139" s="166">
        <f t="shared" si="594"/>
        <v>0</v>
      </c>
      <c r="DR139" s="166">
        <f>SUM(DR140:DR151)</f>
        <v>6143</v>
      </c>
      <c r="DS139" s="166">
        <f t="shared" ref="DS139" si="595">SUM(DS140:DS151)</f>
        <v>311143052.63707697</v>
      </c>
      <c r="DT139" s="166">
        <v>6131</v>
      </c>
      <c r="DU139" s="166">
        <v>312287036.38881201</v>
      </c>
      <c r="DV139" s="167">
        <f t="shared" si="319"/>
        <v>12</v>
      </c>
      <c r="DW139" s="167">
        <f t="shared" si="319"/>
        <v>-1143983.7517350316</v>
      </c>
    </row>
    <row r="140" spans="1:127" ht="30" customHeight="1" x14ac:dyDescent="0.25">
      <c r="A140" s="154"/>
      <c r="B140" s="176">
        <v>109</v>
      </c>
      <c r="C140" s="177" t="s">
        <v>368</v>
      </c>
      <c r="D140" s="210" t="s">
        <v>369</v>
      </c>
      <c r="E140" s="158">
        <v>25969</v>
      </c>
      <c r="F140" s="179">
        <v>0.98</v>
      </c>
      <c r="G140" s="168">
        <v>1</v>
      </c>
      <c r="H140" s="169"/>
      <c r="I140" s="169"/>
      <c r="J140" s="169"/>
      <c r="K140" s="106"/>
      <c r="L140" s="180">
        <v>1.4</v>
      </c>
      <c r="M140" s="180">
        <v>1.68</v>
      </c>
      <c r="N140" s="180">
        <v>2.23</v>
      </c>
      <c r="O140" s="181">
        <v>2.57</v>
      </c>
      <c r="P140" s="182">
        <v>2</v>
      </c>
      <c r="Q140" s="182">
        <f>(P140*$E140*$F140*$G140*$L140*$Q$12)</f>
        <v>78384.829599999997</v>
      </c>
      <c r="R140" s="182">
        <v>1</v>
      </c>
      <c r="S140" s="182">
        <f>(R140*$E140*$F140*$G140*$L140*$S$12)</f>
        <v>39192.414799999999</v>
      </c>
      <c r="T140" s="182">
        <v>145</v>
      </c>
      <c r="U140" s="182">
        <f t="shared" ref="U140:U141" si="596">(T140/12*11*$E140*$F140*$G140*$L140*$U$12)+(T140/12*1*$E140*$F140*$G140*$L140*$U$14)</f>
        <v>6522419.48575</v>
      </c>
      <c r="V140" s="182"/>
      <c r="W140" s="183">
        <f t="shared" ref="W140:W141" si="597">(V140*$E140*$F140*$G140*$L140*$W$12)/12*10+(V140*$E140*$F140*$G140*$L140*$W$13)/12*1++(V140*$E140*$F140*$G140*$L140*$W$14)/12*1</f>
        <v>0</v>
      </c>
      <c r="X140" s="183"/>
      <c r="Y140" s="183">
        <v>0</v>
      </c>
      <c r="Z140" s="183"/>
      <c r="AA140" s="183">
        <v>0</v>
      </c>
      <c r="AB140" s="182">
        <f t="shared" ref="AB140:AC150" si="598">X140+Z140</f>
        <v>0</v>
      </c>
      <c r="AC140" s="182">
        <f t="shared" si="598"/>
        <v>0</v>
      </c>
      <c r="AD140" s="182"/>
      <c r="AE140" s="182">
        <f>(AD140*$E140*$F140*$G140*$L140*$AE$12)</f>
        <v>0</v>
      </c>
      <c r="AF140" s="182"/>
      <c r="AG140" s="182"/>
      <c r="AH140" s="182">
        <v>4</v>
      </c>
      <c r="AI140" s="182">
        <f>(AH140*$E140*$F140*$G140*$L140*$AI$12)</f>
        <v>156769.65919999999</v>
      </c>
      <c r="AJ140" s="182"/>
      <c r="AK140" s="182"/>
      <c r="AL140" s="182"/>
      <c r="AM140" s="182"/>
      <c r="AN140" s="184"/>
      <c r="AO140" s="182">
        <f>(AN140*$E140*$F140*$G140*$L140*$AO$12)</f>
        <v>0</v>
      </c>
      <c r="AP140" s="182"/>
      <c r="AQ140" s="183">
        <f>(AP140*$E140*$F140*$G140*$L140*$AQ$12)</f>
        <v>0</v>
      </c>
      <c r="AR140" s="182"/>
      <c r="AS140" s="182">
        <f t="shared" ref="AS140:AS141" si="599">(AR140*$E140*$F140*$G140*$L140*$AS$12)/12*10+(AR140*$E140*$F140*$G140*$L140*$AS$13)/12*1+(AR140*$E140*$F140*$G140*$L140*$AS$14)/12*1</f>
        <v>0</v>
      </c>
      <c r="AT140" s="182">
        <v>5</v>
      </c>
      <c r="AU140" s="182">
        <f t="shared" ref="AU140:AU141" si="600">(AT140*$E140*$F140*$G140*$M140*$AU$12)/12*10+(AT140*$E140*$F140*$G140*$M140*$AU$13)/12+(AT140*$E140*$F140*$G140*$M140*$AU$14*$AU$15)/12</f>
        <v>246356.28665079601</v>
      </c>
      <c r="AV140" s="188"/>
      <c r="AW140" s="182">
        <f>(AV140*$E140*$F140*$G140*$M140*$AW$12)</f>
        <v>0</v>
      </c>
      <c r="AX140" s="182"/>
      <c r="AY140" s="187">
        <f>(AX140*$E140*$F140*$G140*$M140*$AY$12)</f>
        <v>0</v>
      </c>
      <c r="AZ140" s="182"/>
      <c r="BA140" s="182">
        <f>(AZ140*$E140*$F140*$G140*$L140*$BA$12)</f>
        <v>0</v>
      </c>
      <c r="BB140" s="182">
        <v>0</v>
      </c>
      <c r="BC140" s="182">
        <f>(BB140*$E140*$F140*$G140*$L140*$BC$12)</f>
        <v>0</v>
      </c>
      <c r="BD140" s="182"/>
      <c r="BE140" s="182">
        <f>(BD140*$E140*$F140*$G140*$L140*$BE$12)</f>
        <v>0</v>
      </c>
      <c r="BF140" s="182"/>
      <c r="BG140" s="182">
        <f>(BF140*$E140*$F140*$G140*$L140*$BG$12)</f>
        <v>0</v>
      </c>
      <c r="BH140" s="182"/>
      <c r="BI140" s="183">
        <f>(BH140*$E140*$F140*$G140*$L140*$BI$12)</f>
        <v>0</v>
      </c>
      <c r="BJ140" s="182"/>
      <c r="BK140" s="183">
        <f>(BJ140*$E140*$F140*$G140*$L140*$BK$12)</f>
        <v>0</v>
      </c>
      <c r="BL140" s="182"/>
      <c r="BM140" s="182">
        <f>(BL140*$E140*$F140*$G140*$L140*$BM$12)</f>
        <v>0</v>
      </c>
      <c r="BN140" s="182">
        <v>1</v>
      </c>
      <c r="BO140" s="182">
        <f>(BN140*$E140*$F140*$G140*$M140*$BO$12)</f>
        <v>47030.89776</v>
      </c>
      <c r="BP140" s="182">
        <v>3</v>
      </c>
      <c r="BQ140" s="182">
        <f>(BP140/12*11*$E140*$F140*$G140*$M140*$BQ$12)+(BP140/12*$E140*$F140*$G140*$M140*$BQ$14*$BQ$15)</f>
        <v>137946.21933145198</v>
      </c>
      <c r="BR140" s="182"/>
      <c r="BS140" s="183">
        <f>(BR140*$E140*$F140*$G140*$M140*$BS$12)</f>
        <v>0</v>
      </c>
      <c r="BT140" s="182"/>
      <c r="BU140" s="182">
        <f>(BT140*$E140*$F140*$G140*$M140*$BU$12)</f>
        <v>0</v>
      </c>
      <c r="BV140" s="182"/>
      <c r="BW140" s="182">
        <f>(BV140*$E140*$F140*$G140*$M140*$BW$12)</f>
        <v>0</v>
      </c>
      <c r="BX140" s="182"/>
      <c r="BY140" s="183">
        <f>(BX140*$E140*$F140*$G140*$M140*$BY$12)</f>
        <v>0</v>
      </c>
      <c r="BZ140" s="182">
        <v>1</v>
      </c>
      <c r="CA140" s="187">
        <f t="shared" ref="CA140" si="601">(BZ140*$E140*$F140*$G140*$M140*$CA$12)/12*11+(BZ140*$E140*$F140*$G140*$M140*$CA$12*$CA$15)/12</f>
        <v>55878.050959079992</v>
      </c>
      <c r="CB140" s="182"/>
      <c r="CC140" s="182">
        <f>(CB140*$E140*$F140*$G140*$L140*$CC$12)</f>
        <v>0</v>
      </c>
      <c r="CD140" s="182"/>
      <c r="CE140" s="182">
        <f>(CD140*$E140*$F140*$G140*$L140*$CE$12)</f>
        <v>0</v>
      </c>
      <c r="CF140" s="182"/>
      <c r="CG140" s="182">
        <f>(CF140*$E140*$F140*$G140*$L140*$CG$12)</f>
        <v>0</v>
      </c>
      <c r="CH140" s="182">
        <v>2</v>
      </c>
      <c r="CI140" s="182">
        <f t="shared" ref="CI140" si="602">(CH140*$E140*$F140*$G140*$M140*$CI$12)/12*11+(CH140*$E140*$F140*$G140*$M140*$CI$12*$CI$15)/12</f>
        <v>95296.142809391997</v>
      </c>
      <c r="CJ140" s="182"/>
      <c r="CK140" s="182"/>
      <c r="CL140" s="182"/>
      <c r="CM140" s="183">
        <f>(CL140*$E140*$F140*$G140*$L140*$CM$12)</f>
        <v>0</v>
      </c>
      <c r="CN140" s="182"/>
      <c r="CO140" s="183">
        <f>(CN140*$E140*$F140*$G140*$L140*$CO$12)</f>
        <v>0</v>
      </c>
      <c r="CP140" s="182"/>
      <c r="CQ140" s="182">
        <f>(CP140*$E140*$F140*$G140*$L140*$CQ$12)</f>
        <v>0</v>
      </c>
      <c r="CR140" s="182"/>
      <c r="CS140" s="182">
        <f>(CR140*$E140*$F140*$G140*$L140*$CS$12)</f>
        <v>0</v>
      </c>
      <c r="CT140" s="182"/>
      <c r="CU140" s="182">
        <f>(CT140*$E140*$F140*$G140*$L140*$CU$12)</f>
        <v>0</v>
      </c>
      <c r="CV140" s="182">
        <v>1</v>
      </c>
      <c r="CW140" s="182">
        <v>42755.360000000001</v>
      </c>
      <c r="CX140" s="182">
        <v>5</v>
      </c>
      <c r="CY140" s="182">
        <f>(CX140/12*11*$E140*$F140*$G140*$M140*$CY$12)+(CX140/12*$E140*$F140*$G140*$M140*$CY$15*$CY$12)</f>
        <v>230705.79342552001</v>
      </c>
      <c r="CZ140" s="182">
        <v>1</v>
      </c>
      <c r="DA140" s="182">
        <v>42755.360000000001</v>
      </c>
      <c r="DB140" s="188"/>
      <c r="DC140" s="182">
        <f>(DB140*$E140*$F140*$G140*$M140*$DC$12)</f>
        <v>0</v>
      </c>
      <c r="DD140" s="182"/>
      <c r="DE140" s="187">
        <f t="shared" ref="DE140:DE141" si="603">(DD140*$E140*$F140*$G140*$M140*DE$12)</f>
        <v>0</v>
      </c>
      <c r="DF140" s="182"/>
      <c r="DG140" s="182">
        <f>(DF140*$E140*$F140*$G140*$M140*$DG$12)</f>
        <v>0</v>
      </c>
      <c r="DH140" s="189"/>
      <c r="DI140" s="182">
        <f>(DH140*$E140*$F140*$G140*$M140*$DI$12)</f>
        <v>0</v>
      </c>
      <c r="DJ140" s="182">
        <v>2</v>
      </c>
      <c r="DK140" s="182">
        <f>(DJ140/12*11*$E140*$F140*$G140*$M140*$DK$12)+(DJ140/12*1*$E140*$F140*$M140*$G140*$DK$12*$DK$15)</f>
        <v>93180.322481679977</v>
      </c>
      <c r="DL140" s="182"/>
      <c r="DM140" s="182">
        <f>(DL140*$E140*$F140*$G140*$N140*$DM$12)</f>
        <v>0</v>
      </c>
      <c r="DN140" s="182">
        <f>ROUND(2*0.75,0)</f>
        <v>2</v>
      </c>
      <c r="DO140" s="190">
        <f>(DN140*$E140*$F140*$G140*$O140*$DO$12)</f>
        <v>130811.04679999998</v>
      </c>
      <c r="DP140" s="187"/>
      <c r="DQ140" s="187"/>
      <c r="DR140" s="183">
        <f t="shared" ref="DR140:DS151" si="604">SUM(P140,R140,T140,V140,AB140,AJ140,AD140,AF140,AH140,AL140,AN140,AP140,AV140,AZ140,BB140,CF140,AR140,BF140,BH140,BJ140,CT140,BL140,BN140,AT140,BR140,AX140,CV140,BT140,CX140,BV140,BX140,BZ140,CH140,CB140,CD140,CJ140,CL140,CN140,CP140,CR140,CZ140,DB140,BP140,BD140,DD140,DF140,DH140,DJ140,DL140,DN140,DP140)</f>
        <v>175</v>
      </c>
      <c r="DS140" s="183">
        <f t="shared" si="604"/>
        <v>7919481.8695679205</v>
      </c>
      <c r="DT140" s="182">
        <v>174</v>
      </c>
      <c r="DU140" s="182">
        <v>7761217.9104799991</v>
      </c>
      <c r="DV140" s="167">
        <f t="shared" si="319"/>
        <v>1</v>
      </c>
      <c r="DW140" s="167">
        <f t="shared" si="319"/>
        <v>158263.95908792131</v>
      </c>
    </row>
    <row r="141" spans="1:127" ht="30" customHeight="1" x14ac:dyDescent="0.25">
      <c r="A141" s="154"/>
      <c r="B141" s="176">
        <v>110</v>
      </c>
      <c r="C141" s="177" t="s">
        <v>370</v>
      </c>
      <c r="D141" s="210" t="s">
        <v>371</v>
      </c>
      <c r="E141" s="158">
        <v>25969</v>
      </c>
      <c r="F141" s="179">
        <v>1.49</v>
      </c>
      <c r="G141" s="168">
        <v>1</v>
      </c>
      <c r="H141" s="169"/>
      <c r="I141" s="169"/>
      <c r="J141" s="169"/>
      <c r="K141" s="106"/>
      <c r="L141" s="180">
        <v>1.4</v>
      </c>
      <c r="M141" s="180">
        <v>1.68</v>
      </c>
      <c r="N141" s="180">
        <v>2.23</v>
      </c>
      <c r="O141" s="181">
        <v>2.57</v>
      </c>
      <c r="P141" s="182">
        <v>0</v>
      </c>
      <c r="Q141" s="182">
        <f>(P141*$E141*$F141*$G141*$L141*$Q$12)</f>
        <v>0</v>
      </c>
      <c r="R141" s="182">
        <v>4</v>
      </c>
      <c r="S141" s="182">
        <f>(R141*$E141*$F141*$G141*$L141*$S$12)</f>
        <v>238353.86960000001</v>
      </c>
      <c r="T141" s="182"/>
      <c r="U141" s="182">
        <f t="shared" si="596"/>
        <v>0</v>
      </c>
      <c r="V141" s="182"/>
      <c r="W141" s="183">
        <f t="shared" si="597"/>
        <v>0</v>
      </c>
      <c r="X141" s="183"/>
      <c r="Y141" s="183">
        <v>0</v>
      </c>
      <c r="Z141" s="183"/>
      <c r="AA141" s="183">
        <v>0</v>
      </c>
      <c r="AB141" s="182">
        <f t="shared" si="598"/>
        <v>0</v>
      </c>
      <c r="AC141" s="182">
        <f t="shared" si="598"/>
        <v>0</v>
      </c>
      <c r="AD141" s="182"/>
      <c r="AE141" s="182">
        <f>(AD141*$E141*$F141*$G141*$L141*$AE$12)</f>
        <v>0</v>
      </c>
      <c r="AF141" s="182"/>
      <c r="AG141" s="182"/>
      <c r="AH141" s="182"/>
      <c r="AI141" s="182">
        <f>(AH141*$E141*$F141*$G141*$L141*$AI$12)</f>
        <v>0</v>
      </c>
      <c r="AJ141" s="182"/>
      <c r="AK141" s="182"/>
      <c r="AL141" s="182"/>
      <c r="AM141" s="182"/>
      <c r="AN141" s="184"/>
      <c r="AO141" s="182">
        <f>(AN141*$E141*$F141*$G141*$L141*$AO$12)</f>
        <v>0</v>
      </c>
      <c r="AP141" s="182"/>
      <c r="AQ141" s="183">
        <f>(AP141*$E141*$F141*$G141*$L141*$AQ$12)</f>
        <v>0</v>
      </c>
      <c r="AR141" s="182"/>
      <c r="AS141" s="182">
        <f t="shared" si="599"/>
        <v>0</v>
      </c>
      <c r="AT141" s="182">
        <v>5</v>
      </c>
      <c r="AU141" s="182">
        <f t="shared" si="600"/>
        <v>374562.10929559794</v>
      </c>
      <c r="AV141" s="188"/>
      <c r="AW141" s="182">
        <f>(AV141*$E141*$F141*$G141*$M141*$AW$12)</f>
        <v>0</v>
      </c>
      <c r="AX141" s="182"/>
      <c r="AY141" s="187">
        <f>(AX141*$E141*$F141*$G141*$M141*$AY$12)</f>
        <v>0</v>
      </c>
      <c r="AZ141" s="182"/>
      <c r="BA141" s="182">
        <f>(AZ141*$E141*$F141*$G141*$L141*$BA$12)</f>
        <v>0</v>
      </c>
      <c r="BB141" s="182">
        <v>0</v>
      </c>
      <c r="BC141" s="182">
        <f>(BB141*$E141*$F141*$G141*$L141*$BC$12)</f>
        <v>0</v>
      </c>
      <c r="BD141" s="182"/>
      <c r="BE141" s="182">
        <f>(BD141*$E141*$F141*$G141*$L141*$BE$12)</f>
        <v>0</v>
      </c>
      <c r="BF141" s="182"/>
      <c r="BG141" s="182">
        <f>(BF141*$E141*$F141*$G141*$L141*$BG$12)</f>
        <v>0</v>
      </c>
      <c r="BH141" s="182"/>
      <c r="BI141" s="183">
        <f>(BH141*$E141*$F141*$G141*$L141*$BI$12)</f>
        <v>0</v>
      </c>
      <c r="BJ141" s="182"/>
      <c r="BK141" s="183">
        <f>(BJ141*$E141*$F141*$G141*$L141*$BK$12)</f>
        <v>0</v>
      </c>
      <c r="BL141" s="182"/>
      <c r="BM141" s="182">
        <f>(BL141*$E141*$F141*$G141*$L141*$BM$12)</f>
        <v>0</v>
      </c>
      <c r="BN141" s="182"/>
      <c r="BO141" s="182">
        <f>(BN141*$E141*$F141*$G141*$M141*$BO$12)</f>
        <v>0</v>
      </c>
      <c r="BP141" s="182"/>
      <c r="BQ141" s="182">
        <f>(BP141*$E141*$F141*$G141*$M141*$BQ$12)</f>
        <v>0</v>
      </c>
      <c r="BR141" s="182"/>
      <c r="BS141" s="183">
        <f>(BR141*$E141*$F141*$G141*$M141*$BS$12)</f>
        <v>0</v>
      </c>
      <c r="BT141" s="182"/>
      <c r="BU141" s="182">
        <f>(BT141*$E141*$F141*$G141*$M141*$BU$12)</f>
        <v>0</v>
      </c>
      <c r="BV141" s="182"/>
      <c r="BW141" s="182">
        <f>(BV141*$E141*$F141*$G141*$M141*$BW$12)</f>
        <v>0</v>
      </c>
      <c r="BX141" s="182"/>
      <c r="BY141" s="183">
        <f>(BX141*$E141*$F141*$G141*$M141*$BY$12)</f>
        <v>0</v>
      </c>
      <c r="BZ141" s="182"/>
      <c r="CA141" s="187">
        <f>(BZ141*$E141*$F141*$G141*$M141*$CA$12)</f>
        <v>0</v>
      </c>
      <c r="CB141" s="182"/>
      <c r="CC141" s="182">
        <f>(CB141*$E141*$F141*$G141*$L141*$CC$12)</f>
        <v>0</v>
      </c>
      <c r="CD141" s="182"/>
      <c r="CE141" s="182">
        <f>(CD141*$E141*$F141*$G141*$L141*$CE$12)</f>
        <v>0</v>
      </c>
      <c r="CF141" s="182"/>
      <c r="CG141" s="182">
        <f>(CF141*$E141*$F141*$G141*$L141*$CG$12)</f>
        <v>0</v>
      </c>
      <c r="CH141" s="182"/>
      <c r="CI141" s="182">
        <f>(CH141*$E141*$F141*$G141*$M141*$CI$12)</f>
        <v>0</v>
      </c>
      <c r="CJ141" s="182"/>
      <c r="CK141" s="182"/>
      <c r="CL141" s="182"/>
      <c r="CM141" s="183">
        <f>(CL141*$E141*$F141*$G141*$L141*$CM$12)</f>
        <v>0</v>
      </c>
      <c r="CN141" s="182"/>
      <c r="CO141" s="183">
        <f>(CN141*$E141*$F141*$G141*$L141*$CO$12)</f>
        <v>0</v>
      </c>
      <c r="CP141" s="182"/>
      <c r="CQ141" s="182">
        <f>(CP141*$E141*$F141*$G141*$L141*$CQ$12)</f>
        <v>0</v>
      </c>
      <c r="CR141" s="182"/>
      <c r="CS141" s="182">
        <f>(CR141*$E141*$F141*$G141*$L141*$CS$12)</f>
        <v>0</v>
      </c>
      <c r="CT141" s="182"/>
      <c r="CU141" s="182">
        <f>(CT141*$E141*$F141*$G141*$L141*$CU$12)</f>
        <v>0</v>
      </c>
      <c r="CV141" s="182"/>
      <c r="CW141" s="182">
        <v>0</v>
      </c>
      <c r="CX141" s="182"/>
      <c r="CY141" s="182">
        <f>(CX141*$E141*$F141*$G141*$M141*$CY$12)</f>
        <v>0</v>
      </c>
      <c r="CZ141" s="182"/>
      <c r="DA141" s="182">
        <v>0</v>
      </c>
      <c r="DB141" s="188"/>
      <c r="DC141" s="182">
        <f>(DB141*$E141*$F141*$G141*$M141*$DC$12)</f>
        <v>0</v>
      </c>
      <c r="DD141" s="182"/>
      <c r="DE141" s="187">
        <f t="shared" si="603"/>
        <v>0</v>
      </c>
      <c r="DF141" s="182"/>
      <c r="DG141" s="182">
        <f>(DF141*$E141*$F141*$G141*$M141*$DG$12)</f>
        <v>0</v>
      </c>
      <c r="DH141" s="189"/>
      <c r="DI141" s="182">
        <f>(DH141*$E141*$F141*$G141*$M141*$DI$12)</f>
        <v>0</v>
      </c>
      <c r="DJ141" s="182"/>
      <c r="DK141" s="182">
        <f>(DJ141*$E141*$F141*$G141*$M141*$DK$12)</f>
        <v>0</v>
      </c>
      <c r="DL141" s="182"/>
      <c r="DM141" s="182">
        <f>(DL141*$E141*$F141*$G141*$N141*$DM$12)</f>
        <v>0</v>
      </c>
      <c r="DN141" s="182"/>
      <c r="DO141" s="190">
        <f>(DN141*$E141*$F141*$G141*$O141*$DO$12)</f>
        <v>0</v>
      </c>
      <c r="DP141" s="187"/>
      <c r="DQ141" s="187"/>
      <c r="DR141" s="183">
        <f t="shared" si="604"/>
        <v>9</v>
      </c>
      <c r="DS141" s="183">
        <f t="shared" si="604"/>
        <v>612915.97889559797</v>
      </c>
      <c r="DT141" s="182">
        <v>7</v>
      </c>
      <c r="DU141" s="182">
        <v>484833.43929999991</v>
      </c>
      <c r="DV141" s="167">
        <f t="shared" si="319"/>
        <v>2</v>
      </c>
      <c r="DW141" s="167">
        <f t="shared" si="319"/>
        <v>128082.53959559806</v>
      </c>
    </row>
    <row r="142" spans="1:127" ht="15.75" customHeight="1" x14ac:dyDescent="0.25">
      <c r="A142" s="154"/>
      <c r="B142" s="176">
        <v>111</v>
      </c>
      <c r="C142" s="177" t="s">
        <v>372</v>
      </c>
      <c r="D142" s="210" t="s">
        <v>373</v>
      </c>
      <c r="E142" s="158">
        <v>25969</v>
      </c>
      <c r="F142" s="179">
        <v>0.68</v>
      </c>
      <c r="G142" s="168">
        <v>1</v>
      </c>
      <c r="H142" s="169"/>
      <c r="I142" s="169"/>
      <c r="J142" s="169"/>
      <c r="K142" s="106"/>
      <c r="L142" s="180">
        <v>1.4</v>
      </c>
      <c r="M142" s="180">
        <v>1.68</v>
      </c>
      <c r="N142" s="180">
        <v>2.23</v>
      </c>
      <c r="O142" s="181">
        <v>2.57</v>
      </c>
      <c r="P142" s="182">
        <v>58</v>
      </c>
      <c r="Q142" s="182">
        <f>(P142*$E142*$F142*$G142*$L142)</f>
        <v>1433904.304</v>
      </c>
      <c r="R142" s="182">
        <v>290</v>
      </c>
      <c r="S142" s="187">
        <f>(R142*$E142*$F142*$G142*$L142)</f>
        <v>7169521.5200000005</v>
      </c>
      <c r="T142" s="182">
        <f>34+9</f>
        <v>43</v>
      </c>
      <c r="U142" s="182">
        <f>(T142*$E142*$F142*$G142*$L142)</f>
        <v>1063066.9839999999</v>
      </c>
      <c r="V142" s="182"/>
      <c r="W142" s="182">
        <f>(V142*$E142*$F142*$G142*$L142)</f>
        <v>0</v>
      </c>
      <c r="X142" s="182"/>
      <c r="Y142" s="182">
        <v>0</v>
      </c>
      <c r="Z142" s="182"/>
      <c r="AA142" s="182">
        <v>0</v>
      </c>
      <c r="AB142" s="182">
        <f t="shared" si="598"/>
        <v>0</v>
      </c>
      <c r="AC142" s="182">
        <f t="shared" si="598"/>
        <v>0</v>
      </c>
      <c r="AD142" s="182"/>
      <c r="AE142" s="182">
        <f>(AD142*$E142*$F142*$G142*$L142)</f>
        <v>0</v>
      </c>
      <c r="AF142" s="182"/>
      <c r="AG142" s="182"/>
      <c r="AH142" s="182">
        <v>210</v>
      </c>
      <c r="AI142" s="182">
        <f>(AH142*$E142*$F142*$G142*$L142)</f>
        <v>5191722.4799999995</v>
      </c>
      <c r="AJ142" s="182"/>
      <c r="AK142" s="182"/>
      <c r="AL142" s="182"/>
      <c r="AM142" s="182"/>
      <c r="AN142" s="184"/>
      <c r="AO142" s="182">
        <f>(AN142*$E142*$F142*$G142*$L142)</f>
        <v>0</v>
      </c>
      <c r="AP142" s="182">
        <v>70</v>
      </c>
      <c r="AQ142" s="182">
        <f>(AP142*$E142*$F142*$G142*$L142)</f>
        <v>1730574.1600000001</v>
      </c>
      <c r="AR142" s="182"/>
      <c r="AS142" s="182">
        <f>(AR142*$E142*$F142*$G142*$L142)</f>
        <v>0</v>
      </c>
      <c r="AT142" s="182">
        <v>250</v>
      </c>
      <c r="AU142" s="183">
        <f>(AT142*$E142*$F142*$G142*$M142)</f>
        <v>7416746.3999999994</v>
      </c>
      <c r="AV142" s="188"/>
      <c r="AW142" s="182">
        <f>(AV142*$E142*$F142*$G142*$M142)</f>
        <v>0</v>
      </c>
      <c r="AX142" s="182">
        <v>120</v>
      </c>
      <c r="AY142" s="187">
        <f>(AX142*$E142*$F142*$G142*$M142)</f>
        <v>3560038.2720000003</v>
      </c>
      <c r="AZ142" s="182"/>
      <c r="BA142" s="182">
        <f>(AZ142*$E142*$F142*$G142*$L142*$AO$12)</f>
        <v>0</v>
      </c>
      <c r="BB142" s="182"/>
      <c r="BC142" s="182">
        <f>(BB142*$E142*$F142*$G142*$L142*BC$12)</f>
        <v>0</v>
      </c>
      <c r="BD142" s="182"/>
      <c r="BE142" s="182">
        <f>(BD142*$E142*$F142*$G142*$L142*BE$12)</f>
        <v>0</v>
      </c>
      <c r="BF142" s="182"/>
      <c r="BG142" s="182">
        <f>(BF142*$E142*$F142*$G142*$L142)</f>
        <v>0</v>
      </c>
      <c r="BH142" s="182"/>
      <c r="BI142" s="182">
        <f t="shared" ref="BI142" si="605">(BH142*$E142*$F142*$G142*$L142)</f>
        <v>0</v>
      </c>
      <c r="BJ142" s="182"/>
      <c r="BK142" s="182"/>
      <c r="BL142" s="182">
        <v>25</v>
      </c>
      <c r="BM142" s="182">
        <f>(BL142*$E142*$F142*$G142*$L142)</f>
        <v>618062.20000000007</v>
      </c>
      <c r="BN142" s="182">
        <v>100</v>
      </c>
      <c r="BO142" s="182">
        <f>(BN142*$E142*$F142*$G142*$M142)</f>
        <v>2966698.56</v>
      </c>
      <c r="BP142" s="182">
        <v>18</v>
      </c>
      <c r="BQ142" s="182">
        <f>(BP142*$E142*$F142*$G142*$M142)</f>
        <v>534005.74080000003</v>
      </c>
      <c r="BR142" s="182"/>
      <c r="BS142" s="182">
        <f>(BR142*$E142*$F142*$G142*$M142)</f>
        <v>0</v>
      </c>
      <c r="BT142" s="182">
        <v>20</v>
      </c>
      <c r="BU142" s="182">
        <f>(BT142*$E142*$F142*$G142*$M142)</f>
        <v>593339.71200000006</v>
      </c>
      <c r="BV142" s="182">
        <v>672</v>
      </c>
      <c r="BW142" s="182">
        <f>(BV142*$E142*$F142*$G142*$M142)</f>
        <v>19936214.323199999</v>
      </c>
      <c r="BX142" s="182">
        <v>50</v>
      </c>
      <c r="BY142" s="182">
        <f>(BX142*$E142*$F142*$G142*$M142)</f>
        <v>1483349.28</v>
      </c>
      <c r="BZ142" s="182">
        <v>85</v>
      </c>
      <c r="CA142" s="187">
        <f>(BZ142*$E142*$F142*$G142*$M142)</f>
        <v>2521693.7760000001</v>
      </c>
      <c r="CB142" s="182"/>
      <c r="CC142" s="182">
        <f>(CB142*$E142*$F142*$G142*$L142)</f>
        <v>0</v>
      </c>
      <c r="CD142" s="182"/>
      <c r="CE142" s="183">
        <f>(CD142*$E142*$F142*$G142*$L142)</f>
        <v>0</v>
      </c>
      <c r="CF142" s="182"/>
      <c r="CG142" s="182">
        <f>(CF142*$E142*$F142*$G142*$L142)</f>
        <v>0</v>
      </c>
      <c r="CH142" s="182">
        <v>220</v>
      </c>
      <c r="CI142" s="182">
        <f>(CH142*$E142*$F142*$G142*$M142)</f>
        <v>6526736.8320000004</v>
      </c>
      <c r="CJ142" s="182"/>
      <c r="CK142" s="182"/>
      <c r="CL142" s="182">
        <v>120</v>
      </c>
      <c r="CM142" s="182">
        <f>(CL142*$E142*$F142*$G142*$L142)</f>
        <v>2966698.5600000005</v>
      </c>
      <c r="CN142" s="182">
        <v>110</v>
      </c>
      <c r="CO142" s="182">
        <f>(CN142*$E142*$F142*$G142*$L142)</f>
        <v>2719473.68</v>
      </c>
      <c r="CP142" s="182">
        <v>61</v>
      </c>
      <c r="CQ142" s="182">
        <f>(CP142*$E142*$F142*$G142*$L142)</f>
        <v>1508071.7680000002</v>
      </c>
      <c r="CR142" s="182">
        <v>154</v>
      </c>
      <c r="CS142" s="182">
        <f>(CR142*$E142*$F142*$G142*$L142)</f>
        <v>3807263.1519999998</v>
      </c>
      <c r="CT142" s="182">
        <v>120</v>
      </c>
      <c r="CU142" s="182">
        <f>(CT142*$E142*$F142*$G142*$L142)</f>
        <v>2966698.5600000005</v>
      </c>
      <c r="CV142" s="182">
        <v>257</v>
      </c>
      <c r="CW142" s="182">
        <v>7565082.4500000402</v>
      </c>
      <c r="CX142" s="182">
        <v>80</v>
      </c>
      <c r="CY142" s="182">
        <f>(CX142*$E142*$F142*$G142*$M142)</f>
        <v>2373358.8480000002</v>
      </c>
      <c r="CZ142" s="182">
        <v>110</v>
      </c>
      <c r="DA142" s="182">
        <v>3241118.6600000081</v>
      </c>
      <c r="DB142" s="188"/>
      <c r="DC142" s="182">
        <f>(DB142*$E142*$F142*$G142*$M142)</f>
        <v>0</v>
      </c>
      <c r="DD142" s="182"/>
      <c r="DE142" s="187">
        <f>(DD142*$E142*$F142*$G142*$M142)</f>
        <v>0</v>
      </c>
      <c r="DF142" s="182"/>
      <c r="DG142" s="182"/>
      <c r="DH142" s="189">
        <f>ROUND(19*0.75,0)</f>
        <v>14</v>
      </c>
      <c r="DI142" s="182">
        <f>(DH142*$E142*$F142*$G142*$M142)</f>
        <v>415337.79839999997</v>
      </c>
      <c r="DJ142" s="182">
        <v>201</v>
      </c>
      <c r="DK142" s="182">
        <f>(DJ142*$E142*$F142*$G142*$M142)</f>
        <v>5963064.1056000004</v>
      </c>
      <c r="DL142" s="182">
        <f>ROUND(90*0.75,0)</f>
        <v>68</v>
      </c>
      <c r="DM142" s="182">
        <f>(DL142*$E142*$F142*$G142*$N142)</f>
        <v>2677798.6288000001</v>
      </c>
      <c r="DN142" s="182">
        <f>ROUND(33*0.75,0)</f>
        <v>25</v>
      </c>
      <c r="DO142" s="187">
        <f>(DN142*$E142*$F142*$G142*$O142)</f>
        <v>1134585.6100000001</v>
      </c>
      <c r="DP142" s="187"/>
      <c r="DQ142" s="187"/>
      <c r="DR142" s="183">
        <f t="shared" si="604"/>
        <v>3551</v>
      </c>
      <c r="DS142" s="183">
        <f t="shared" si="604"/>
        <v>100084226.36480005</v>
      </c>
      <c r="DT142" s="182">
        <v>3511</v>
      </c>
      <c r="DU142" s="182">
        <v>99095326.84480004</v>
      </c>
      <c r="DV142" s="167">
        <f t="shared" si="319"/>
        <v>40</v>
      </c>
      <c r="DW142" s="167">
        <f t="shared" si="319"/>
        <v>988899.52000001073</v>
      </c>
    </row>
    <row r="143" spans="1:127" ht="15.75" customHeight="1" x14ac:dyDescent="0.25">
      <c r="A143" s="154"/>
      <c r="B143" s="176">
        <v>112</v>
      </c>
      <c r="C143" s="177" t="s">
        <v>374</v>
      </c>
      <c r="D143" s="210" t="s">
        <v>375</v>
      </c>
      <c r="E143" s="158">
        <v>25969</v>
      </c>
      <c r="F143" s="179">
        <v>1.01</v>
      </c>
      <c r="G143" s="168">
        <v>1</v>
      </c>
      <c r="H143" s="169"/>
      <c r="I143" s="169"/>
      <c r="J143" s="169"/>
      <c r="K143" s="106"/>
      <c r="L143" s="180">
        <v>1.4</v>
      </c>
      <c r="M143" s="180">
        <v>1.68</v>
      </c>
      <c r="N143" s="180">
        <v>2.23</v>
      </c>
      <c r="O143" s="181">
        <v>2.57</v>
      </c>
      <c r="P143" s="182">
        <v>3</v>
      </c>
      <c r="Q143" s="182">
        <f>(P143*$E143*$F143*$G143*$L143*$Q$12)</f>
        <v>121176.54780000001</v>
      </c>
      <c r="R143" s="182">
        <v>41</v>
      </c>
      <c r="S143" s="182">
        <f>(R143*$E143*$F143*$G143*$L143*$S$12)</f>
        <v>1656079.4865999999</v>
      </c>
      <c r="T143" s="182">
        <f>34+21</f>
        <v>55</v>
      </c>
      <c r="U143" s="182">
        <f t="shared" ref="U143" si="606">(T143/12*11*$E143*$F143*$G143*$L143*$U$12)+(T143/12*1*$E143*$F143*$G143*$L143*$U$14)</f>
        <v>2549756.5266249995</v>
      </c>
      <c r="V143" s="182"/>
      <c r="W143" s="183">
        <f>(V143*$E143*$F143*$G143*$L143*$W$12)/12*10+(V143*$E143*$F143*$G143*$L143*$W$13)/12*1++(V143*$E143*$F143*$G143*$L143*$W$14)/12*1</f>
        <v>0</v>
      </c>
      <c r="X143" s="183"/>
      <c r="Y143" s="183">
        <v>0</v>
      </c>
      <c r="Z143" s="183"/>
      <c r="AA143" s="183">
        <v>0</v>
      </c>
      <c r="AB143" s="182">
        <f t="shared" si="598"/>
        <v>0</v>
      </c>
      <c r="AC143" s="182">
        <f t="shared" si="598"/>
        <v>0</v>
      </c>
      <c r="AD143" s="182"/>
      <c r="AE143" s="182">
        <f>(AD143*$E143*$F143*$G143*$L143*$AE$12)</f>
        <v>0</v>
      </c>
      <c r="AF143" s="182"/>
      <c r="AG143" s="182"/>
      <c r="AH143" s="182"/>
      <c r="AI143" s="182">
        <f>(AH143*$E143*$F143*$G143*$L143*$AI$12)</f>
        <v>0</v>
      </c>
      <c r="AJ143" s="182"/>
      <c r="AK143" s="182"/>
      <c r="AL143" s="182"/>
      <c r="AM143" s="182"/>
      <c r="AN143" s="184"/>
      <c r="AO143" s="182">
        <f>(AN143*$E143*$F143*$G143*$L143*$AO$12)</f>
        <v>0</v>
      </c>
      <c r="AP143" s="182"/>
      <c r="AQ143" s="183">
        <f>(AP143*$E143*$F143*$G143*$L143*$AQ$12)</f>
        <v>0</v>
      </c>
      <c r="AR143" s="182"/>
      <c r="AS143" s="182">
        <f>(AR143*$E143*$F143*$G143*$L143*$AS$12)/12*10+(AR143*$E143*$F143*$G143*$L143*$AS$13)/12*1+(AR143*$E143*$F143*$G143*$L143*$AS$14)/12*1</f>
        <v>0</v>
      </c>
      <c r="AT143" s="182">
        <v>49</v>
      </c>
      <c r="AU143" s="182">
        <f>(AT143*$E143*$F143*$G143*$M143*$AU$12)/12*10+(AT143*$E143*$F143*$G143*$M143*$AU$13)/12+(AT143*$E143*$F143*$G143*$M143*$AU$14*$AU$15)/12</f>
        <v>2488198.4951730394</v>
      </c>
      <c r="AV143" s="188"/>
      <c r="AW143" s="182">
        <f>(AV143*$E143*$F143*$G143*$M143*$AW$12)</f>
        <v>0</v>
      </c>
      <c r="AX143" s="182"/>
      <c r="AY143" s="187">
        <f>(AX143*$E143*$F143*$G143*$M143*$AY$12)</f>
        <v>0</v>
      </c>
      <c r="AZ143" s="182"/>
      <c r="BA143" s="182">
        <f>(AZ143*$E143*$F143*$G143*$L143*$BA$12)</f>
        <v>0</v>
      </c>
      <c r="BB143" s="182">
        <v>0</v>
      </c>
      <c r="BC143" s="182">
        <f>(BB143*$E143*$F143*$G143*$L143*$BC$12)</f>
        <v>0</v>
      </c>
      <c r="BD143" s="182"/>
      <c r="BE143" s="182">
        <f>(BD143*$E143*$F143*$G143*$L143*$BE$12)</f>
        <v>0</v>
      </c>
      <c r="BF143" s="182"/>
      <c r="BG143" s="182">
        <f>(BF143*$E143*$F143*$G143*$L143*$BG$12)</f>
        <v>0</v>
      </c>
      <c r="BH143" s="182"/>
      <c r="BI143" s="183">
        <f>(BH143*$E143*$F143*$G143*$L143*$BI$12)</f>
        <v>0</v>
      </c>
      <c r="BJ143" s="182"/>
      <c r="BK143" s="183">
        <f>(BJ143*$E143*$F143*$G143*$L143*$BK$12)</f>
        <v>0</v>
      </c>
      <c r="BL143" s="182">
        <v>5</v>
      </c>
      <c r="BM143" s="182">
        <f t="shared" ref="BM143" si="607">(BL143/12*11*$E143*$F143*$G143*$L143*$BM$12)+(BL143/12*$E143*$F143*$G143*$L143*$BM$12*$BM$15)</f>
        <v>256284.35937873999</v>
      </c>
      <c r="BN143" s="182">
        <v>1</v>
      </c>
      <c r="BO143" s="182">
        <f>(BN143*$E143*$F143*$G143*$M143*$BO$12)</f>
        <v>48470.619119999996</v>
      </c>
      <c r="BP143" s="182"/>
      <c r="BQ143" s="182">
        <f>(BP143*$E143*$F143*$G143*$M143*$BQ$12)</f>
        <v>0</v>
      </c>
      <c r="BR143" s="182"/>
      <c r="BS143" s="183">
        <f>(BR143*$E143*$F143*$G143*$M143*$BS$12)</f>
        <v>0</v>
      </c>
      <c r="BT143" s="182">
        <v>1</v>
      </c>
      <c r="BU143" s="182">
        <f t="shared" ref="BU143" si="608">(BT143*$E143*$F143*$G143*$M143*$BU$12)/12*10+(BT143*$E143*$F143*$G143*$M143*$BU$13)/12+(BT143*$E143*$F143*$G143*$M143*$BU$13*$BU$15)/12</f>
        <v>49087.576661065599</v>
      </c>
      <c r="BV143" s="182"/>
      <c r="BW143" s="182">
        <f>(BV143*$E143*$F143*$G143*$M143*$BW$12)</f>
        <v>0</v>
      </c>
      <c r="BX143" s="182">
        <v>2</v>
      </c>
      <c r="BY143" s="183">
        <f t="shared" ref="BY143" si="609">(BX143*$E143*$F143*$G143*$M143*$BY$12)/12*11+(BX143*$E143*$F143*$G143*$M143*$BY$12*$BY$15)/12</f>
        <v>118857.008354112</v>
      </c>
      <c r="BZ143" s="182">
        <v>3</v>
      </c>
      <c r="CA143" s="187">
        <f t="shared" ref="CA143" si="610">(BZ143*$E143*$F143*$G143*$M143*$CA$12)/12*11+(BZ143*$E143*$F143*$G143*$M143*$CA$12*$CA$15)/12</f>
        <v>172765.81061838003</v>
      </c>
      <c r="CB143" s="182"/>
      <c r="CC143" s="182">
        <f>(CB143*$E143*$F143*$G143*$L143*$CC$12)</f>
        <v>0</v>
      </c>
      <c r="CD143" s="182"/>
      <c r="CE143" s="182">
        <f>(CD143*$E143*$F143*$G143*$L143*$CE$12)</f>
        <v>0</v>
      </c>
      <c r="CF143" s="182"/>
      <c r="CG143" s="182">
        <f>(CF143*$E143*$F143*$G143*$L143*$CG$12)</f>
        <v>0</v>
      </c>
      <c r="CH143" s="182"/>
      <c r="CI143" s="182">
        <f>(CH143*$E143*$F143*$G143*$M143*$CI$12)</f>
        <v>0</v>
      </c>
      <c r="CJ143" s="182"/>
      <c r="CK143" s="182"/>
      <c r="CL143" s="182"/>
      <c r="CM143" s="183">
        <f>(CL143*$E143*$F143*$G143*$L143*$CM$12)</f>
        <v>0</v>
      </c>
      <c r="CN143" s="182"/>
      <c r="CO143" s="183">
        <f>(CN143*$E143*$F143*$G143*$L143*$CO$12)</f>
        <v>0</v>
      </c>
      <c r="CP143" s="182"/>
      <c r="CQ143" s="182">
        <f>(CP143*$E143*$F143*$G143*$L143*$CQ$12)</f>
        <v>0</v>
      </c>
      <c r="CR143" s="182">
        <v>1</v>
      </c>
      <c r="CS143" s="182">
        <f t="shared" ref="CS143" si="611">(CR143*$E143*$F143*$G143*$L143*$CS$12)/12*10+(CR143*$E143*$F143*$G143*$L143*$CS$13)/12+(CR143*$E143*$F143*$G143*$L143*$CS$13*$CS$15)/12</f>
        <v>44022.644212143328</v>
      </c>
      <c r="CT143" s="182">
        <v>2</v>
      </c>
      <c r="CU143" s="182">
        <f t="shared" ref="CU143" si="612">(CT143*$E143*$F143*$G143*$L143*$CU$12)/12*11+(CT143*$E143*$F143*$G143*$L143*$CU$12*$CU$15)/12</f>
        <v>77096.926130279986</v>
      </c>
      <c r="CV143" s="182">
        <v>13</v>
      </c>
      <c r="CW143" s="182">
        <v>550802.5</v>
      </c>
      <c r="CX143" s="182">
        <v>5</v>
      </c>
      <c r="CY143" s="182">
        <f>(CX143/12*11*$E143*$F143*$G143*$M143*$CY$12)+(CX143/12*$E143*$F143*$G143*$M143*$CY$15*$CY$12)</f>
        <v>237768.21567324002</v>
      </c>
      <c r="CZ143" s="182"/>
      <c r="DA143" s="182">
        <v>0</v>
      </c>
      <c r="DB143" s="188"/>
      <c r="DC143" s="182">
        <f>(DB143*$E143*$F143*$G143*$M143*$DC$12)</f>
        <v>0</v>
      </c>
      <c r="DD143" s="182"/>
      <c r="DE143" s="187">
        <f>(DD143*$E143*$F143*$G143*$M143*DE$12)</f>
        <v>0</v>
      </c>
      <c r="DF143" s="182"/>
      <c r="DG143" s="182">
        <f>(DF143*$E143*$F143*$G143*$M143*$DG$12)</f>
        <v>0</v>
      </c>
      <c r="DH143" s="189"/>
      <c r="DI143" s="182">
        <f>(DH143*$E143*$F143*$G143*$M143*$DI$12)</f>
        <v>0</v>
      </c>
      <c r="DJ143" s="182"/>
      <c r="DK143" s="182">
        <f>(DJ143/12*11*$E143*$F143*$G143*$M143*$DK$12)+(DJ143/12*1*$E143*$F143*$M143*$G143*$DK$12*$DK$15)</f>
        <v>0</v>
      </c>
      <c r="DL143" s="182"/>
      <c r="DM143" s="182">
        <f>(DL143*$E143*$F143*$G143*$N143*$DM$12)</f>
        <v>0</v>
      </c>
      <c r="DN143" s="182"/>
      <c r="DO143" s="190">
        <f>(DN143*$E143*$F143*$G143*$O143*$DO$12)</f>
        <v>0</v>
      </c>
      <c r="DP143" s="187"/>
      <c r="DQ143" s="187"/>
      <c r="DR143" s="183">
        <f t="shared" si="604"/>
        <v>181</v>
      </c>
      <c r="DS143" s="183">
        <f t="shared" si="604"/>
        <v>8370366.7163459985</v>
      </c>
      <c r="DT143" s="182">
        <v>183</v>
      </c>
      <c r="DU143" s="182">
        <v>8283824.6584933335</v>
      </c>
      <c r="DV143" s="167">
        <f t="shared" si="319"/>
        <v>-2</v>
      </c>
      <c r="DW143" s="167">
        <f t="shared" si="319"/>
        <v>86542.057852664962</v>
      </c>
    </row>
    <row r="144" spans="1:127" ht="15.75" customHeight="1" x14ac:dyDescent="0.25">
      <c r="A144" s="154"/>
      <c r="B144" s="176">
        <v>113</v>
      </c>
      <c r="C144" s="177" t="s">
        <v>376</v>
      </c>
      <c r="D144" s="210" t="s">
        <v>377</v>
      </c>
      <c r="E144" s="158">
        <v>25969</v>
      </c>
      <c r="F144" s="168">
        <v>0.4</v>
      </c>
      <c r="G144" s="168">
        <v>1</v>
      </c>
      <c r="H144" s="169"/>
      <c r="I144" s="169"/>
      <c r="J144" s="169"/>
      <c r="K144" s="106"/>
      <c r="L144" s="180">
        <v>1.4</v>
      </c>
      <c r="M144" s="180">
        <v>1.68</v>
      </c>
      <c r="N144" s="180">
        <v>2.23</v>
      </c>
      <c r="O144" s="181">
        <v>2.57</v>
      </c>
      <c r="P144" s="182">
        <v>0</v>
      </c>
      <c r="Q144" s="182">
        <f>(P144*$E144*$F144*$G144*$L144)</f>
        <v>0</v>
      </c>
      <c r="R144" s="182">
        <v>128</v>
      </c>
      <c r="S144" s="187">
        <f>(R144*$E144*$F144*$G144*$L144)</f>
        <v>1861457.9199999999</v>
      </c>
      <c r="T144" s="182"/>
      <c r="U144" s="182">
        <f>(T144*$E144*$F144*$G144*$L144)</f>
        <v>0</v>
      </c>
      <c r="V144" s="182"/>
      <c r="W144" s="182">
        <f>(V144*$E144*$F144*$G144*$L144)</f>
        <v>0</v>
      </c>
      <c r="X144" s="182"/>
      <c r="Y144" s="182">
        <v>0</v>
      </c>
      <c r="Z144" s="182"/>
      <c r="AA144" s="182">
        <v>0</v>
      </c>
      <c r="AB144" s="182">
        <f t="shared" si="598"/>
        <v>0</v>
      </c>
      <c r="AC144" s="182">
        <f t="shared" si="598"/>
        <v>0</v>
      </c>
      <c r="AD144" s="182"/>
      <c r="AE144" s="182">
        <f>(AD144*$E144*$F144*$G144*$L144)</f>
        <v>0</v>
      </c>
      <c r="AF144" s="182"/>
      <c r="AG144" s="182"/>
      <c r="AH144" s="182"/>
      <c r="AI144" s="182">
        <f>(AH144*$E144*$F144*$G144*$L144)</f>
        <v>0</v>
      </c>
      <c r="AJ144" s="182"/>
      <c r="AK144" s="182"/>
      <c r="AL144" s="182"/>
      <c r="AM144" s="182"/>
      <c r="AN144" s="184"/>
      <c r="AO144" s="182">
        <f>(AN144*$E144*$F144*$G144*$L144)</f>
        <v>0</v>
      </c>
      <c r="AP144" s="182"/>
      <c r="AQ144" s="182">
        <f>(AP144*$E144*$F144*$G144*$L144)</f>
        <v>0</v>
      </c>
      <c r="AR144" s="182"/>
      <c r="AS144" s="182">
        <f>(AR144*$E144*$F144*$G144*$L144)</f>
        <v>0</v>
      </c>
      <c r="AT144" s="182">
        <v>95</v>
      </c>
      <c r="AU144" s="183">
        <f>(AT144*$E144*$F144*$G144*$M144)</f>
        <v>1657860.96</v>
      </c>
      <c r="AV144" s="188"/>
      <c r="AW144" s="182">
        <f>(AV144*$E144*$F144*$G144*$M144)</f>
        <v>0</v>
      </c>
      <c r="AX144" s="182">
        <v>2</v>
      </c>
      <c r="AY144" s="187">
        <f>(AX144*$E144*$F144*$G144*$M144)</f>
        <v>34902.336000000003</v>
      </c>
      <c r="AZ144" s="182"/>
      <c r="BA144" s="182">
        <f>(AZ144*$E144*$F144*$G144*$L144*$AO$12)</f>
        <v>0</v>
      </c>
      <c r="BB144" s="182"/>
      <c r="BC144" s="182">
        <f>(BB144*$E144*$F144*$G144*$L144*BC$12)</f>
        <v>0</v>
      </c>
      <c r="BD144" s="182"/>
      <c r="BE144" s="182">
        <f>(BD144*$E144*$F144*$G144*$L144*BE$12)</f>
        <v>0</v>
      </c>
      <c r="BF144" s="182"/>
      <c r="BG144" s="182">
        <f>(BF144*$E144*$F144*$G144*$L144)</f>
        <v>0</v>
      </c>
      <c r="BH144" s="182"/>
      <c r="BI144" s="182">
        <f t="shared" ref="BI144" si="613">(BH144*$E144*$F144*$G144*$L144)</f>
        <v>0</v>
      </c>
      <c r="BJ144" s="182"/>
      <c r="BK144" s="182"/>
      <c r="BL144" s="182">
        <v>14</v>
      </c>
      <c r="BM144" s="182">
        <f>(BL144*$E144*$F144*$G144*$L144)</f>
        <v>203596.96</v>
      </c>
      <c r="BN144" s="182">
        <v>12</v>
      </c>
      <c r="BO144" s="182">
        <f>(BN144*$E144*$F144*$G144*$M144)</f>
        <v>209414.016</v>
      </c>
      <c r="BP144" s="182"/>
      <c r="BQ144" s="182">
        <f>(BP144*$E144*$F144*$G144*$M144)</f>
        <v>0</v>
      </c>
      <c r="BR144" s="182"/>
      <c r="BS144" s="182">
        <f>(BR144*$E144*$F144*$G144*$M144)</f>
        <v>0</v>
      </c>
      <c r="BT144" s="182">
        <v>43</v>
      </c>
      <c r="BU144" s="182">
        <f>(BT144*$E144*$F144*$G144*$M144)</f>
        <v>750400.22400000005</v>
      </c>
      <c r="BV144" s="182">
        <v>3</v>
      </c>
      <c r="BW144" s="182">
        <f>(BV144*$E144*$F144*$G144*$M144)</f>
        <v>52353.504000000001</v>
      </c>
      <c r="BX144" s="182">
        <v>26</v>
      </c>
      <c r="BY144" s="182">
        <f>(BX144*$E144*$F144*$G144*$M144)</f>
        <v>453730.36800000002</v>
      </c>
      <c r="BZ144" s="182">
        <v>30</v>
      </c>
      <c r="CA144" s="187">
        <f>(BZ144*$E144*$F144*$G144*$M144)</f>
        <v>523535.04</v>
      </c>
      <c r="CB144" s="182"/>
      <c r="CC144" s="182">
        <f>(CB144*$E144*$F144*$G144*$L144)</f>
        <v>0</v>
      </c>
      <c r="CD144" s="182"/>
      <c r="CE144" s="183">
        <f>(CD144*$E144*$F144*$G144*$L144)</f>
        <v>0</v>
      </c>
      <c r="CF144" s="182"/>
      <c r="CG144" s="182">
        <f>(CF144*$E144*$F144*$G144*$L144)</f>
        <v>0</v>
      </c>
      <c r="CH144" s="182">
        <v>22</v>
      </c>
      <c r="CI144" s="182">
        <f>(CH144*$E144*$F144*$G144*$M144)</f>
        <v>383925.696</v>
      </c>
      <c r="CJ144" s="182"/>
      <c r="CK144" s="182"/>
      <c r="CL144" s="182"/>
      <c r="CM144" s="182">
        <f>(CL144*$E144*$F144*$G144*$L144)</f>
        <v>0</v>
      </c>
      <c r="CN144" s="182"/>
      <c r="CO144" s="182">
        <f>(CN144*$E144*$F144*$G144*$L144)</f>
        <v>0</v>
      </c>
      <c r="CP144" s="182">
        <v>36</v>
      </c>
      <c r="CQ144" s="182">
        <f>(CP144*$E144*$F144*$G144*$L144)</f>
        <v>523535.04000000004</v>
      </c>
      <c r="CR144" s="182">
        <v>16</v>
      </c>
      <c r="CS144" s="182">
        <f>(CR144*$E144*$F144*$G144*$L144)</f>
        <v>232682.23999999999</v>
      </c>
      <c r="CT144" s="182">
        <v>30</v>
      </c>
      <c r="CU144" s="182">
        <f>(CT144*$E144*$F144*$G144*$L144)</f>
        <v>436279.19999999995</v>
      </c>
      <c r="CV144" s="182">
        <v>35</v>
      </c>
      <c r="CW144" s="182">
        <v>623879.31999999995</v>
      </c>
      <c r="CX144" s="182"/>
      <c r="CY144" s="182">
        <f>(CX144*$E144*$F144*$G144*$M144)</f>
        <v>0</v>
      </c>
      <c r="CZ144" s="182"/>
      <c r="DA144" s="182">
        <v>0</v>
      </c>
      <c r="DB144" s="188"/>
      <c r="DC144" s="182">
        <f>(DB144*$E144*$F144*$G144*$M144)</f>
        <v>0</v>
      </c>
      <c r="DD144" s="182"/>
      <c r="DE144" s="187">
        <f>(DD144*$E144*$F144*$G144*$M144)</f>
        <v>0</v>
      </c>
      <c r="DF144" s="182"/>
      <c r="DG144" s="182"/>
      <c r="DH144" s="189">
        <f>ROUND(12*0.75,0)</f>
        <v>9</v>
      </c>
      <c r="DI144" s="182">
        <f>(DH144*$E144*$F144*$G144*$M144)</f>
        <v>157060.51200000002</v>
      </c>
      <c r="DJ144" s="182">
        <v>16</v>
      </c>
      <c r="DK144" s="182">
        <f>(DJ144*$E144*$F144*$G144*$M144)</f>
        <v>279218.68800000002</v>
      </c>
      <c r="DL144" s="182">
        <f>ROUND(6*0.75,0)</f>
        <v>5</v>
      </c>
      <c r="DM144" s="182">
        <f>(DL144*$E144*$F144*$G144*$N144)</f>
        <v>115821.74</v>
      </c>
      <c r="DN144" s="182">
        <f>ROUND(5*0.75,0)</f>
        <v>4</v>
      </c>
      <c r="DO144" s="187">
        <f>(DN144*$E144*$F144*$G144*$O144)</f>
        <v>106784.52799999999</v>
      </c>
      <c r="DP144" s="187"/>
      <c r="DQ144" s="187"/>
      <c r="DR144" s="183">
        <f t="shared" si="604"/>
        <v>526</v>
      </c>
      <c r="DS144" s="183">
        <f t="shared" si="604"/>
        <v>8606438.2920000013</v>
      </c>
      <c r="DT144" s="182">
        <v>525</v>
      </c>
      <c r="DU144" s="182">
        <v>8591895.6520000007</v>
      </c>
      <c r="DV144" s="167">
        <f t="shared" si="319"/>
        <v>1</v>
      </c>
      <c r="DW144" s="167">
        <f t="shared" si="319"/>
        <v>14542.640000000596</v>
      </c>
    </row>
    <row r="145" spans="1:127" ht="18.75" customHeight="1" x14ac:dyDescent="0.25">
      <c r="A145" s="154"/>
      <c r="B145" s="176">
        <v>114</v>
      </c>
      <c r="C145" s="177" t="s">
        <v>378</v>
      </c>
      <c r="D145" s="210" t="s">
        <v>379</v>
      </c>
      <c r="E145" s="158">
        <v>25969</v>
      </c>
      <c r="F145" s="179">
        <v>1.54</v>
      </c>
      <c r="G145" s="168">
        <v>1</v>
      </c>
      <c r="H145" s="242"/>
      <c r="I145" s="242"/>
      <c r="J145" s="242"/>
      <c r="K145" s="106"/>
      <c r="L145" s="180">
        <v>1.4</v>
      </c>
      <c r="M145" s="180">
        <v>1.68</v>
      </c>
      <c r="N145" s="180">
        <v>2.23</v>
      </c>
      <c r="O145" s="181">
        <v>2.57</v>
      </c>
      <c r="P145" s="182">
        <v>5</v>
      </c>
      <c r="Q145" s="182">
        <f>(P145*$E145*$F145*$G145*$L145*$Q$12)</f>
        <v>307940.40200000006</v>
      </c>
      <c r="R145" s="182">
        <v>400</v>
      </c>
      <c r="S145" s="182">
        <f>(R145*$E145*$F145*$G145*$L145*$S$12)</f>
        <v>24635232.16</v>
      </c>
      <c r="T145" s="182"/>
      <c r="U145" s="182">
        <f t="shared" ref="U145:U148" si="614">(T145/12*11*$E145*$F145*$G145*$L145*$U$12)+(T145/12*1*$E145*$F145*$G145*$L145*$U$14)</f>
        <v>0</v>
      </c>
      <c r="V145" s="182"/>
      <c r="W145" s="183">
        <f t="shared" ref="W145:W148" si="615">(V145*$E145*$F145*$G145*$L145*$W$12)/12*10+(V145*$E145*$F145*$G145*$L145*$W$13)/12*1++(V145*$E145*$F145*$G145*$L145*$W$14)/12*1</f>
        <v>0</v>
      </c>
      <c r="X145" s="183"/>
      <c r="Y145" s="183">
        <v>0</v>
      </c>
      <c r="Z145" s="183"/>
      <c r="AA145" s="183">
        <v>0</v>
      </c>
      <c r="AB145" s="182">
        <f t="shared" si="598"/>
        <v>0</v>
      </c>
      <c r="AC145" s="182">
        <f t="shared" si="598"/>
        <v>0</v>
      </c>
      <c r="AD145" s="182"/>
      <c r="AE145" s="182">
        <f>(AD145*$E145*$F145*$G145*$L145*$AE$12)</f>
        <v>0</v>
      </c>
      <c r="AF145" s="182"/>
      <c r="AG145" s="182"/>
      <c r="AH145" s="182"/>
      <c r="AI145" s="182">
        <f>(AH145*$E145*$F145*$G145*$L145*$AI$12)</f>
        <v>0</v>
      </c>
      <c r="AJ145" s="182"/>
      <c r="AK145" s="182"/>
      <c r="AL145" s="182"/>
      <c r="AM145" s="182"/>
      <c r="AN145" s="182">
        <v>1</v>
      </c>
      <c r="AO145" s="182">
        <v>30794</v>
      </c>
      <c r="AP145" s="182"/>
      <c r="AQ145" s="183">
        <f>(AP145*$E145*$F145*$G145*$L145*$AQ$12)</f>
        <v>0</v>
      </c>
      <c r="AR145" s="182"/>
      <c r="AS145" s="182">
        <f t="shared" ref="AS145:AS148" si="616">(AR145*$E145*$F145*$G145*$L145*$AS$12)/12*10+(AR145*$E145*$F145*$G145*$L145*$AS$13)/12*1+(AR145*$E145*$F145*$G145*$L145*$AS$14)/12*1</f>
        <v>0</v>
      </c>
      <c r="AT145" s="182">
        <f>150-5</f>
        <v>145</v>
      </c>
      <c r="AU145" s="182">
        <f t="shared" ref="AU145:AU148" si="617">(AT145*$E145*$F145*$G145*$M145*$AU$12)/12*10+(AT145*$E145*$F145*$G145*$M145*$AU$13)/12+(AT145*$E145*$F145*$G145*$M145*$AU$14*$AU$15)/12</f>
        <v>11226807.920229131</v>
      </c>
      <c r="AV145" s="188"/>
      <c r="AW145" s="182">
        <f>(AV145*$E145*$F145*$G145*$M145*$AW$12)</f>
        <v>0</v>
      </c>
      <c r="AX145" s="182"/>
      <c r="AY145" s="187">
        <f>(AX145*$E145*$F145*$G145*$M145*$AY$12)</f>
        <v>0</v>
      </c>
      <c r="AZ145" s="182"/>
      <c r="BA145" s="182">
        <f>(AZ145*$E145*$F145*$G145*$L145*$BA$12)</f>
        <v>0</v>
      </c>
      <c r="BB145" s="182">
        <v>0</v>
      </c>
      <c r="BC145" s="182">
        <f>(BB145*$E145*$F145*$G145*$L145*$BC$12)</f>
        <v>0</v>
      </c>
      <c r="BD145" s="182"/>
      <c r="BE145" s="182">
        <f>(BD145*$E145*$F145*$G145*$L145*$BE$12)</f>
        <v>0</v>
      </c>
      <c r="BF145" s="182"/>
      <c r="BG145" s="182">
        <f>(BF145*$E145*$F145*$G145*$L145*$BG$12)</f>
        <v>0</v>
      </c>
      <c r="BH145" s="182"/>
      <c r="BI145" s="183">
        <f>(BH145*$E145*$F145*$G145*$L145*$BI$12)</f>
        <v>0</v>
      </c>
      <c r="BJ145" s="182"/>
      <c r="BK145" s="183">
        <f>(BJ145*$E145*$F145*$G145*$L145*$BK$12)</f>
        <v>0</v>
      </c>
      <c r="BL145" s="182">
        <v>1</v>
      </c>
      <c r="BM145" s="182">
        <f t="shared" ref="BM145" si="618">(BL145/12*11*$E145*$F145*$G145*$L145*$BM$12)+(BL145/12*$E145*$F145*$G145*$L145*$BM$12*$BM$15)</f>
        <v>78154.042265991986</v>
      </c>
      <c r="BN145" s="182">
        <v>3</v>
      </c>
      <c r="BO145" s="182">
        <f>(BN145*$E145*$F145*$G145*$M145*$BO$12)</f>
        <v>221717.08944000001</v>
      </c>
      <c r="BP145" s="182"/>
      <c r="BQ145" s="182">
        <f>(BP145*$E145*$F145*$G145*$M145*$BQ$12)</f>
        <v>0</v>
      </c>
      <c r="BR145" s="182"/>
      <c r="BS145" s="183">
        <f>(BR145*$E145*$F145*$G145*$M145*$BS$12)</f>
        <v>0</v>
      </c>
      <c r="BT145" s="182">
        <v>10</v>
      </c>
      <c r="BU145" s="182">
        <f t="shared" ref="BU145:BU146" si="619">(BT145*$E145*$F145*$G145*$M145*$BU$12)/12*10+(BT145*$E145*$F145*$G145*$M145*$BU$13)/12+(BT145*$E145*$F145*$G145*$M145*$BU$13*$BU$15)/12</f>
        <v>748464.04017862398</v>
      </c>
      <c r="BV145" s="182">
        <v>2</v>
      </c>
      <c r="BW145" s="182">
        <f>(BV145*$E145*$F145*$G145*$M145*$BW$12)</f>
        <v>120936.59424000002</v>
      </c>
      <c r="BX145" s="182">
        <v>6</v>
      </c>
      <c r="BY145" s="183">
        <f t="shared" ref="BY145" si="620">(BX145*$E145*$F145*$G145*$M145*$BY$12)/12*11+(BX145*$E145*$F145*$G145*$M145*$BY$12*$BY$15)/12</f>
        <v>543682.55306534399</v>
      </c>
      <c r="BZ145" s="182">
        <v>2</v>
      </c>
      <c r="CA145" s="187">
        <f t="shared" ref="CA145" si="621">(BZ145*$E145*$F145*$G145*$M145*$CA$12)/12*11+(BZ145*$E145*$F145*$G145*$M145*$CA$12*$CA$15)/12</f>
        <v>175616.73158568004</v>
      </c>
      <c r="CB145" s="182"/>
      <c r="CC145" s="182">
        <f>(CB145*$E145*$F145*$G145*$L145*$CC$12)</f>
        <v>0</v>
      </c>
      <c r="CD145" s="182"/>
      <c r="CE145" s="182">
        <f>(CD145*$E145*$F145*$G145*$L145*$CE$12)</f>
        <v>0</v>
      </c>
      <c r="CF145" s="182"/>
      <c r="CG145" s="182">
        <f>(CF145*$E145*$F145*$G145*$L145*$CG$12)</f>
        <v>0</v>
      </c>
      <c r="CH145" s="182"/>
      <c r="CI145" s="182">
        <f>(CH145*$E145*$F145*$G145*$M145*$CI$12)</f>
        <v>0</v>
      </c>
      <c r="CJ145" s="182"/>
      <c r="CK145" s="182"/>
      <c r="CL145" s="182"/>
      <c r="CM145" s="183">
        <f>(CL145*$E145*$F145*$G145*$L145*$CM$12)</f>
        <v>0</v>
      </c>
      <c r="CN145" s="182"/>
      <c r="CO145" s="183">
        <f>(CN145*$E145*$F145*$G145*$L145*$CO$12)</f>
        <v>0</v>
      </c>
      <c r="CP145" s="182"/>
      <c r="CQ145" s="182">
        <f>(CP145*$E145*$F145*$G145*$L145*$CQ$12)</f>
        <v>0</v>
      </c>
      <c r="CR145" s="182">
        <v>1</v>
      </c>
      <c r="CS145" s="182">
        <f t="shared" ref="CS145" si="622">(CR145*$E145*$F145*$G145*$L145*$CS$12)/12*10+(CR145*$E145*$F145*$G145*$L145*$CS$13)/12+(CR145*$E145*$F145*$G145*$L145*$CS$13*$CS$15)/12</f>
        <v>67123.635729406669</v>
      </c>
      <c r="CT145" s="182">
        <v>6</v>
      </c>
      <c r="CU145" s="182">
        <f t="shared" ref="CU145" si="623">(CT145*$E145*$F145*$G145*$L145*$CU$12)/12*11+(CT145*$E145*$F145*$G145*$L145*$CU$12*$CU$15)/12</f>
        <v>352661.18685336004</v>
      </c>
      <c r="CV145" s="182">
        <v>7</v>
      </c>
      <c r="CW145" s="182">
        <v>411847.58</v>
      </c>
      <c r="CX145" s="182">
        <v>17</v>
      </c>
      <c r="CY145" s="182">
        <f t="shared" ref="CY145:CY147" si="624">(CX145/12*11*$E145*$F145*$G145*$M145*$CY$12)+(CX145/12*$E145*$F145*$G145*$M145*$CY$15*$CY$12)</f>
        <v>1232628.0963020641</v>
      </c>
      <c r="CZ145" s="182"/>
      <c r="DA145" s="182">
        <v>0</v>
      </c>
      <c r="DB145" s="188"/>
      <c r="DC145" s="182">
        <f>(DB145*$E145*$F145*$G145*$M145*$DC$12)</f>
        <v>0</v>
      </c>
      <c r="DD145" s="182"/>
      <c r="DE145" s="187">
        <f t="shared" ref="DE145:DE148" si="625">(DD145*$E145*$F145*$G145*$M145*DE$12)</f>
        <v>0</v>
      </c>
      <c r="DF145" s="182"/>
      <c r="DG145" s="182">
        <f>(DF145*$E145*$F145*$G145*$M145*$DG$12)</f>
        <v>0</v>
      </c>
      <c r="DH145" s="189"/>
      <c r="DI145" s="182">
        <f>(DH145*$E145*$F145*$G145*$M145*$DI$12)</f>
        <v>0</v>
      </c>
      <c r="DJ145" s="182">
        <v>1</v>
      </c>
      <c r="DK145" s="182">
        <f>(DJ145/12*11*$E145*$F145*$G145*$M145*$DK$12)+(DJ145/12*1*$E145*$F145*$M145*$G145*$DK$12*$DK$15)</f>
        <v>73213.110521319992</v>
      </c>
      <c r="DL145" s="182"/>
      <c r="DM145" s="182">
        <f>(DL145*$E145*$F145*$G145*$N145*$DM$12)</f>
        <v>0</v>
      </c>
      <c r="DN145" s="182">
        <f>ROUND(3*0.75,0)</f>
        <v>2</v>
      </c>
      <c r="DO145" s="190">
        <f>(DN145*$E145*$F145*$G145*$O145*$DO$12)</f>
        <v>205560.2164</v>
      </c>
      <c r="DP145" s="187"/>
      <c r="DQ145" s="187"/>
      <c r="DR145" s="183">
        <f t="shared" si="604"/>
        <v>609</v>
      </c>
      <c r="DS145" s="183">
        <f t="shared" si="604"/>
        <v>40432379.358810924</v>
      </c>
      <c r="DT145" s="182">
        <v>636</v>
      </c>
      <c r="DU145" s="182">
        <v>41577587.094226666</v>
      </c>
      <c r="DV145" s="167">
        <f t="shared" ref="DV145:DW208" si="626">DR145-DT145</f>
        <v>-27</v>
      </c>
      <c r="DW145" s="167">
        <f t="shared" si="626"/>
        <v>-1145207.7354157418</v>
      </c>
    </row>
    <row r="146" spans="1:127" ht="30" customHeight="1" x14ac:dyDescent="0.25">
      <c r="A146" s="154"/>
      <c r="B146" s="176">
        <v>115</v>
      </c>
      <c r="C146" s="177" t="s">
        <v>380</v>
      </c>
      <c r="D146" s="210" t="s">
        <v>381</v>
      </c>
      <c r="E146" s="158">
        <v>25969</v>
      </c>
      <c r="F146" s="179">
        <v>4.13</v>
      </c>
      <c r="G146" s="243">
        <v>0.8</v>
      </c>
      <c r="H146" s="242"/>
      <c r="I146" s="242"/>
      <c r="J146" s="242"/>
      <c r="K146" s="106"/>
      <c r="L146" s="180">
        <v>1.4</v>
      </c>
      <c r="M146" s="180">
        <v>1.68</v>
      </c>
      <c r="N146" s="180">
        <v>2.23</v>
      </c>
      <c r="O146" s="181">
        <v>2.57</v>
      </c>
      <c r="P146" s="182">
        <v>0</v>
      </c>
      <c r="Q146" s="182">
        <f>(P146*$E146*$F146*$G146*$L146*$Q$12)</f>
        <v>0</v>
      </c>
      <c r="R146" s="182">
        <v>280</v>
      </c>
      <c r="S146" s="182">
        <f>(R146*$E146*$F146*$G146*$L146*$S$12)</f>
        <v>36997639.571200006</v>
      </c>
      <c r="T146" s="182"/>
      <c r="U146" s="182">
        <f t="shared" si="614"/>
        <v>0</v>
      </c>
      <c r="V146" s="182"/>
      <c r="W146" s="183">
        <f t="shared" si="615"/>
        <v>0</v>
      </c>
      <c r="X146" s="183"/>
      <c r="Y146" s="183">
        <v>0</v>
      </c>
      <c r="Z146" s="183"/>
      <c r="AA146" s="183">
        <v>0</v>
      </c>
      <c r="AB146" s="182">
        <f t="shared" si="598"/>
        <v>0</v>
      </c>
      <c r="AC146" s="182">
        <f t="shared" si="598"/>
        <v>0</v>
      </c>
      <c r="AD146" s="182"/>
      <c r="AE146" s="182">
        <f>(AD146*$E146*$F146*$G146*$L146*$AE$12)</f>
        <v>0</v>
      </c>
      <c r="AF146" s="182"/>
      <c r="AG146" s="182"/>
      <c r="AH146" s="182"/>
      <c r="AI146" s="182">
        <f>(AH146*$E146*$F146*$G146*$L146*$AI$12)</f>
        <v>0</v>
      </c>
      <c r="AJ146" s="182"/>
      <c r="AK146" s="182"/>
      <c r="AL146" s="182"/>
      <c r="AM146" s="182"/>
      <c r="AN146" s="182"/>
      <c r="AO146" s="182">
        <f>(AN146*$E146*$F146*$G146*$L146*$AO$12)</f>
        <v>0</v>
      </c>
      <c r="AP146" s="182"/>
      <c r="AQ146" s="183">
        <f>(AP146*$E146*$F146*$G146*$L146*$AQ$12)</f>
        <v>0</v>
      </c>
      <c r="AR146" s="182"/>
      <c r="AS146" s="182">
        <f t="shared" si="616"/>
        <v>0</v>
      </c>
      <c r="AT146" s="182">
        <v>98</v>
      </c>
      <c r="AU146" s="182">
        <f t="shared" si="617"/>
        <v>16279223.4218846</v>
      </c>
      <c r="AV146" s="188"/>
      <c r="AW146" s="182">
        <f>(AV146*$E146*$F146*$G146*$M146*$AW$12)</f>
        <v>0</v>
      </c>
      <c r="AX146" s="182"/>
      <c r="AY146" s="187">
        <f>(AX146*$E146*$F146*$G146*$M146*$AY$12)</f>
        <v>0</v>
      </c>
      <c r="AZ146" s="182"/>
      <c r="BA146" s="182">
        <f>(AZ146*$E146*$F146*$G146*$L146*$BA$12)</f>
        <v>0</v>
      </c>
      <c r="BB146" s="182">
        <v>0</v>
      </c>
      <c r="BC146" s="182">
        <f>(BB146*$E146*$F146*$G146*$L146*$BC$12)</f>
        <v>0</v>
      </c>
      <c r="BD146" s="182"/>
      <c r="BE146" s="182">
        <f>(BD146*$E146*$F146*$G146*$L146*$BE$12)</f>
        <v>0</v>
      </c>
      <c r="BF146" s="182"/>
      <c r="BG146" s="182">
        <f>(BF146*$E146*$F146*$G146*$L146*$BG$12)</f>
        <v>0</v>
      </c>
      <c r="BH146" s="182"/>
      <c r="BI146" s="183">
        <f>(BH146*$E146*$F146*$G146*$L146*$BI$12)</f>
        <v>0</v>
      </c>
      <c r="BJ146" s="182"/>
      <c r="BK146" s="183">
        <f>(BJ146*$E146*$F146*$G146*$L146*$BK$12)</f>
        <v>0</v>
      </c>
      <c r="BL146" s="182"/>
      <c r="BM146" s="182">
        <f>(BL146*$E146*$F146*$G146*$L146*$BM$12)</f>
        <v>0</v>
      </c>
      <c r="BN146" s="182"/>
      <c r="BO146" s="182">
        <f>(BN146*$E146*$F146*$G146*$M146*$BO$12)</f>
        <v>0</v>
      </c>
      <c r="BP146" s="182"/>
      <c r="BQ146" s="182">
        <f>(BP146*$E146*$F146*$G146*$M146*$BQ$12)</f>
        <v>0</v>
      </c>
      <c r="BR146" s="182"/>
      <c r="BS146" s="183">
        <f>(BR146*$E146*$F146*$G146*$M146*$BS$12)</f>
        <v>0</v>
      </c>
      <c r="BT146" s="182">
        <v>2</v>
      </c>
      <c r="BU146" s="182">
        <f t="shared" si="619"/>
        <v>321159.11542210047</v>
      </c>
      <c r="BV146" s="182"/>
      <c r="BW146" s="182">
        <f>(BV146*$E146*$F146*$G146*$M146*$BW$12)</f>
        <v>0</v>
      </c>
      <c r="BX146" s="182"/>
      <c r="BY146" s="183">
        <f>(BX146*$E146*$F146*$G146*$M146*$BY$12)</f>
        <v>0</v>
      </c>
      <c r="BZ146" s="182"/>
      <c r="CA146" s="187">
        <f>(BZ146*$E146*$F146*$G146*$M146*$CA$12)</f>
        <v>0</v>
      </c>
      <c r="CB146" s="182"/>
      <c r="CC146" s="182">
        <f>(CB146*$E146*$F146*$G146*$L146*$CC$12)</f>
        <v>0</v>
      </c>
      <c r="CD146" s="182"/>
      <c r="CE146" s="182">
        <f>(CD146*$E146*$F146*$G146*$L146*$CE$12)</f>
        <v>0</v>
      </c>
      <c r="CF146" s="182"/>
      <c r="CG146" s="182">
        <f>(CF146*$E146*$F146*$G146*$L146*$CG$12)</f>
        <v>0</v>
      </c>
      <c r="CH146" s="182"/>
      <c r="CI146" s="182">
        <f>(CH146*$E146*$F146*$G146*$M146*$CI$12)</f>
        <v>0</v>
      </c>
      <c r="CJ146" s="182"/>
      <c r="CK146" s="182"/>
      <c r="CL146" s="182"/>
      <c r="CM146" s="183">
        <f>(CL146*$E146*$F146*$G146*$L146*$CM$12)</f>
        <v>0</v>
      </c>
      <c r="CN146" s="182"/>
      <c r="CO146" s="183">
        <f>(CN146*$E146*$F146*$G146*$L146*$CO$12)</f>
        <v>0</v>
      </c>
      <c r="CP146" s="182"/>
      <c r="CQ146" s="182">
        <f>(CP146*$E146*$F146*$G146*$L146*$CQ$12)</f>
        <v>0</v>
      </c>
      <c r="CR146" s="182"/>
      <c r="CS146" s="182">
        <f>(CR146*$E146*$F146*$G146*$L146*$CS$12)</f>
        <v>0</v>
      </c>
      <c r="CT146" s="182"/>
      <c r="CU146" s="182">
        <f>(CT146*$E146*$F146*$G146*$L146*$CU$12)</f>
        <v>0</v>
      </c>
      <c r="CV146" s="182"/>
      <c r="CW146" s="182">
        <v>0</v>
      </c>
      <c r="CX146" s="182">
        <v>14</v>
      </c>
      <c r="CY146" s="182">
        <f t="shared" si="624"/>
        <v>2177862.6899369089</v>
      </c>
      <c r="CZ146" s="182"/>
      <c r="DA146" s="182">
        <v>0</v>
      </c>
      <c r="DB146" s="188"/>
      <c r="DC146" s="182">
        <f>(DB146*$E146*$F146*$G146*$M146*$DC$12)</f>
        <v>0</v>
      </c>
      <c r="DD146" s="182"/>
      <c r="DE146" s="187">
        <f t="shared" si="625"/>
        <v>0</v>
      </c>
      <c r="DF146" s="182"/>
      <c r="DG146" s="182">
        <f>(DF146*$E146*$F146*$G146*$M146*$DG$12)</f>
        <v>0</v>
      </c>
      <c r="DH146" s="189"/>
      <c r="DI146" s="182">
        <f>(DH146*$E146*$F146*$G146*$M146*$DI$12)</f>
        <v>0</v>
      </c>
      <c r="DJ146" s="182"/>
      <c r="DK146" s="182">
        <f>(DJ146*$E146*$F146*$G146*$M146*$DK$12)</f>
        <v>0</v>
      </c>
      <c r="DL146" s="182"/>
      <c r="DM146" s="182">
        <f>(DL146*$E146*$F146*$G146*$N146*$DM$12)</f>
        <v>0</v>
      </c>
      <c r="DN146" s="182">
        <f>ROUND(1*0.75,0)</f>
        <v>1</v>
      </c>
      <c r="DO146" s="190">
        <f>(DN146*$E146*$F146*$G146*$O146*$DO$12)</f>
        <v>220510.05031999998</v>
      </c>
      <c r="DP146" s="187"/>
      <c r="DQ146" s="187"/>
      <c r="DR146" s="183">
        <f t="shared" si="604"/>
        <v>395</v>
      </c>
      <c r="DS146" s="183">
        <f t="shared" si="604"/>
        <v>55996394.848763615</v>
      </c>
      <c r="DT146" s="182">
        <v>395</v>
      </c>
      <c r="DU146" s="182">
        <v>55426273.667632014</v>
      </c>
      <c r="DV146" s="167">
        <f t="shared" si="626"/>
        <v>0</v>
      </c>
      <c r="DW146" s="167">
        <f t="shared" si="626"/>
        <v>570121.18113160133</v>
      </c>
    </row>
    <row r="147" spans="1:127" ht="30" customHeight="1" x14ac:dyDescent="0.25">
      <c r="A147" s="154"/>
      <c r="B147" s="176">
        <v>116</v>
      </c>
      <c r="C147" s="177" t="s">
        <v>382</v>
      </c>
      <c r="D147" s="210" t="s">
        <v>383</v>
      </c>
      <c r="E147" s="158">
        <v>25969</v>
      </c>
      <c r="F147" s="179">
        <v>5.82</v>
      </c>
      <c r="G147" s="243">
        <v>0.8</v>
      </c>
      <c r="H147" s="242"/>
      <c r="I147" s="242"/>
      <c r="J147" s="242"/>
      <c r="K147" s="106"/>
      <c r="L147" s="180">
        <v>1.4</v>
      </c>
      <c r="M147" s="180">
        <v>1.68</v>
      </c>
      <c r="N147" s="180">
        <v>2.23</v>
      </c>
      <c r="O147" s="181">
        <v>2.57</v>
      </c>
      <c r="P147" s="182">
        <v>0</v>
      </c>
      <c r="Q147" s="182">
        <f>(P147*$E147*$F147*$G147*$L147*$Q$12)</f>
        <v>0</v>
      </c>
      <c r="R147" s="182">
        <v>235</v>
      </c>
      <c r="S147" s="182">
        <f>(R147*$E147*$F147*$G147*$L147*$S$12)</f>
        <v>43757931.201600015</v>
      </c>
      <c r="T147" s="182">
        <v>1</v>
      </c>
      <c r="U147" s="182">
        <f t="shared" si="614"/>
        <v>213711.36611999996</v>
      </c>
      <c r="V147" s="182"/>
      <c r="W147" s="183">
        <f t="shared" si="615"/>
        <v>0</v>
      </c>
      <c r="X147" s="183"/>
      <c r="Y147" s="183">
        <v>0</v>
      </c>
      <c r="Z147" s="183"/>
      <c r="AA147" s="183">
        <v>0</v>
      </c>
      <c r="AB147" s="182">
        <f t="shared" si="598"/>
        <v>0</v>
      </c>
      <c r="AC147" s="182">
        <f t="shared" si="598"/>
        <v>0</v>
      </c>
      <c r="AD147" s="182"/>
      <c r="AE147" s="182">
        <f>(AD147*$E147*$F147*$G147*$L147*$AE$12)</f>
        <v>0</v>
      </c>
      <c r="AF147" s="182"/>
      <c r="AG147" s="182"/>
      <c r="AH147" s="182"/>
      <c r="AI147" s="182">
        <f>(AH147*$E147*$F147*$G147*$L147*$AI$12)</f>
        <v>0</v>
      </c>
      <c r="AJ147" s="182"/>
      <c r="AK147" s="182"/>
      <c r="AL147" s="182"/>
      <c r="AM147" s="182"/>
      <c r="AN147" s="184"/>
      <c r="AO147" s="182">
        <f>(AN147*$E147*$F147*$G147*$L147*$AO$12)</f>
        <v>0</v>
      </c>
      <c r="AP147" s="182"/>
      <c r="AQ147" s="183">
        <f>(AP147*$E147*$F147*$G147*$L147*$AQ$12)</f>
        <v>0</v>
      </c>
      <c r="AR147" s="182"/>
      <c r="AS147" s="182">
        <f t="shared" si="616"/>
        <v>0</v>
      </c>
      <c r="AT147" s="182">
        <v>100</v>
      </c>
      <c r="AU147" s="182">
        <f t="shared" si="617"/>
        <v>23408874.911145024</v>
      </c>
      <c r="AV147" s="188"/>
      <c r="AW147" s="182">
        <f>(AV147*$E147*$F147*$G147*$M147*$AW$12)</f>
        <v>0</v>
      </c>
      <c r="AX147" s="182"/>
      <c r="AY147" s="187">
        <f>(AX147*$E147*$F147*$G147*$M147*$AY$12)</f>
        <v>0</v>
      </c>
      <c r="AZ147" s="182"/>
      <c r="BA147" s="182">
        <f>(AZ147*$E147*$F147*$G147*$L147*$BA$12)</f>
        <v>0</v>
      </c>
      <c r="BB147" s="182">
        <v>0</v>
      </c>
      <c r="BC147" s="182">
        <f>(BB147*$E147*$F147*$G147*$L147*$BC$12)</f>
        <v>0</v>
      </c>
      <c r="BD147" s="182"/>
      <c r="BE147" s="182">
        <f>(BD147*$E147*$F147*$G147*$L147*$BE$12)</f>
        <v>0</v>
      </c>
      <c r="BF147" s="182"/>
      <c r="BG147" s="182">
        <f>(BF147*$E147*$F147*$G147*$L147*$BG$12)</f>
        <v>0</v>
      </c>
      <c r="BH147" s="182"/>
      <c r="BI147" s="183">
        <f>(BH147*$E147*$F147*$G147*$L147*$BI$12)</f>
        <v>0</v>
      </c>
      <c r="BJ147" s="182"/>
      <c r="BK147" s="183">
        <f>(BJ147*$E147*$F147*$G147*$L147*$BK$12)</f>
        <v>0</v>
      </c>
      <c r="BL147" s="182"/>
      <c r="BM147" s="182">
        <f>(BL147*$E147*$F147*$G147*$L147*$BM$12)</f>
        <v>0</v>
      </c>
      <c r="BN147" s="182">
        <v>0</v>
      </c>
      <c r="BO147" s="182">
        <f>(BN147*$E147*$F147*$G147*$M147*$BO$12)</f>
        <v>0</v>
      </c>
      <c r="BP147" s="182"/>
      <c r="BQ147" s="182">
        <f>(BP147*$E147*$F147*$G147*$M147*$BQ$12)</f>
        <v>0</v>
      </c>
      <c r="BR147" s="182"/>
      <c r="BS147" s="183">
        <f>(BR147*$E147*$F147*$G147*$M147*$BS$12)</f>
        <v>0</v>
      </c>
      <c r="BT147" s="182"/>
      <c r="BU147" s="182">
        <f>(BT147*$E147*$F147*$G147*$M147*$BU$12)</f>
        <v>0</v>
      </c>
      <c r="BV147" s="182"/>
      <c r="BW147" s="182">
        <f>(BV147*$E147*$F147*$G147*$M147*$BW$12)</f>
        <v>0</v>
      </c>
      <c r="BX147" s="182"/>
      <c r="BY147" s="183">
        <f>(BX147*$E147*$F147*$G147*$M147*$BY$12)</f>
        <v>0</v>
      </c>
      <c r="BZ147" s="182"/>
      <c r="CA147" s="187">
        <f>(BZ147*$E147*$F147*$G147*$M147*$CA$12)</f>
        <v>0</v>
      </c>
      <c r="CB147" s="182"/>
      <c r="CC147" s="182">
        <f>(CB147*$E147*$F147*$G147*$L147*$CC$12)</f>
        <v>0</v>
      </c>
      <c r="CD147" s="182"/>
      <c r="CE147" s="182">
        <f>(CD147*$E147*$F147*$G147*$L147*$CE$12)</f>
        <v>0</v>
      </c>
      <c r="CF147" s="182"/>
      <c r="CG147" s="182">
        <f>(CF147*$E147*$F147*$G147*$L147*$CG$12)</f>
        <v>0</v>
      </c>
      <c r="CH147" s="182"/>
      <c r="CI147" s="182">
        <f>(CH147*$E147*$F147*$G147*$M147*$CI$12)</f>
        <v>0</v>
      </c>
      <c r="CJ147" s="182"/>
      <c r="CK147" s="182"/>
      <c r="CL147" s="182"/>
      <c r="CM147" s="183">
        <f>(CL147*$E147*$F147*$G147*$L147*$CM$12)</f>
        <v>0</v>
      </c>
      <c r="CN147" s="182"/>
      <c r="CO147" s="183">
        <f>(CN147*$E147*$F147*$G147*$L147*$CO$12)</f>
        <v>0</v>
      </c>
      <c r="CP147" s="182"/>
      <c r="CQ147" s="182">
        <f>(CP147*$E147*$F147*$G147*$L147*$CQ$12)</f>
        <v>0</v>
      </c>
      <c r="CR147" s="182"/>
      <c r="CS147" s="182">
        <f>(CR147*$E147*$F147*$G147*$L147*$CS$12)</f>
        <v>0</v>
      </c>
      <c r="CT147" s="182"/>
      <c r="CU147" s="182">
        <f>(CT147*$E147*$F147*$G147*$L147*$CU$12)</f>
        <v>0</v>
      </c>
      <c r="CV147" s="182"/>
      <c r="CW147" s="182">
        <v>0</v>
      </c>
      <c r="CX147" s="182">
        <v>2</v>
      </c>
      <c r="CY147" s="182">
        <f t="shared" si="624"/>
        <v>438435.17313845758</v>
      </c>
      <c r="CZ147" s="182"/>
      <c r="DA147" s="182">
        <v>0</v>
      </c>
      <c r="DB147" s="188"/>
      <c r="DC147" s="182">
        <f>(DB147*$E147*$F147*$G147*$M147*$DC$12)</f>
        <v>0</v>
      </c>
      <c r="DD147" s="182"/>
      <c r="DE147" s="187">
        <f t="shared" si="625"/>
        <v>0</v>
      </c>
      <c r="DF147" s="182"/>
      <c r="DG147" s="182">
        <f>(DF147*$E147*$F147*$G147*$M147*$DG$12)</f>
        <v>0</v>
      </c>
      <c r="DH147" s="189"/>
      <c r="DI147" s="182">
        <f>(DH147*$E147*$F147*$G147*$M147*$DI$12)</f>
        <v>0</v>
      </c>
      <c r="DJ147" s="182"/>
      <c r="DK147" s="182">
        <f>(DJ147*$E147*$F147*$G147*$M147*$DK$12)</f>
        <v>0</v>
      </c>
      <c r="DL147" s="182"/>
      <c r="DM147" s="182">
        <f>(DL147*$E147*$F147*$G147*$N147*$DM$12)</f>
        <v>0</v>
      </c>
      <c r="DN147" s="182"/>
      <c r="DO147" s="190">
        <f>(DN147*$E147*$F147*$G147*$O147*$DO$12)</f>
        <v>0</v>
      </c>
      <c r="DP147" s="187"/>
      <c r="DQ147" s="187"/>
      <c r="DR147" s="183">
        <f t="shared" si="604"/>
        <v>338</v>
      </c>
      <c r="DS147" s="183">
        <f t="shared" si="604"/>
        <v>67818952.652003497</v>
      </c>
      <c r="DT147" s="182">
        <v>358</v>
      </c>
      <c r="DU147" s="182">
        <v>70952173.551839992</v>
      </c>
      <c r="DV147" s="167">
        <f t="shared" si="626"/>
        <v>-20</v>
      </c>
      <c r="DW147" s="167">
        <f t="shared" si="626"/>
        <v>-3133220.8998364955</v>
      </c>
    </row>
    <row r="148" spans="1:127" ht="30" customHeight="1" x14ac:dyDescent="0.25">
      <c r="A148" s="154"/>
      <c r="B148" s="176">
        <v>117</v>
      </c>
      <c r="C148" s="177" t="s">
        <v>384</v>
      </c>
      <c r="D148" s="210" t="s">
        <v>385</v>
      </c>
      <c r="E148" s="158">
        <v>25969</v>
      </c>
      <c r="F148" s="179">
        <v>1.41</v>
      </c>
      <c r="G148" s="168">
        <v>1</v>
      </c>
      <c r="H148" s="169"/>
      <c r="I148" s="169"/>
      <c r="J148" s="169"/>
      <c r="K148" s="106"/>
      <c r="L148" s="180">
        <v>1.4</v>
      </c>
      <c r="M148" s="180">
        <v>1.68</v>
      </c>
      <c r="N148" s="180">
        <v>2.23</v>
      </c>
      <c r="O148" s="181">
        <v>2.57</v>
      </c>
      <c r="P148" s="182">
        <v>0</v>
      </c>
      <c r="Q148" s="182">
        <f>(P148*$E148*$F148*$G148*$L148*$Q$12)</f>
        <v>0</v>
      </c>
      <c r="R148" s="182">
        <v>110</v>
      </c>
      <c r="S148" s="182">
        <f>(R148*$E148*$F148*$G148*$L148*$S$12)</f>
        <v>6202799.5259999996</v>
      </c>
      <c r="T148" s="182">
        <v>1</v>
      </c>
      <c r="U148" s="182">
        <f t="shared" si="614"/>
        <v>64719.292574999992</v>
      </c>
      <c r="V148" s="182"/>
      <c r="W148" s="183">
        <f t="shared" si="615"/>
        <v>0</v>
      </c>
      <c r="X148" s="183"/>
      <c r="Y148" s="183">
        <v>0</v>
      </c>
      <c r="Z148" s="183"/>
      <c r="AA148" s="183">
        <v>0</v>
      </c>
      <c r="AB148" s="182">
        <f t="shared" si="598"/>
        <v>0</v>
      </c>
      <c r="AC148" s="182">
        <f t="shared" si="598"/>
        <v>0</v>
      </c>
      <c r="AD148" s="182"/>
      <c r="AE148" s="182">
        <f>(AD148*$E148*$F148*$G148*$L148*$AE$12)</f>
        <v>0</v>
      </c>
      <c r="AF148" s="182"/>
      <c r="AG148" s="182"/>
      <c r="AH148" s="182"/>
      <c r="AI148" s="182">
        <f>(AH148*$E148*$F148*$G148*$L148*$AI$12)</f>
        <v>0</v>
      </c>
      <c r="AJ148" s="182"/>
      <c r="AK148" s="182"/>
      <c r="AL148" s="182"/>
      <c r="AM148" s="182"/>
      <c r="AN148" s="184"/>
      <c r="AO148" s="182">
        <f>(AN148*$E148*$F148*$G148*$L148*$AO$12)</f>
        <v>0</v>
      </c>
      <c r="AP148" s="182"/>
      <c r="AQ148" s="183">
        <f>(AP148*$E148*$F148*$G148*$L148*$AQ$12)</f>
        <v>0</v>
      </c>
      <c r="AR148" s="182"/>
      <c r="AS148" s="182">
        <f t="shared" si="616"/>
        <v>0</v>
      </c>
      <c r="AT148" s="182">
        <v>5</v>
      </c>
      <c r="AU148" s="182">
        <f t="shared" si="617"/>
        <v>354451.39201798197</v>
      </c>
      <c r="AV148" s="188"/>
      <c r="AW148" s="182">
        <f>(AV148*$E148*$F148*$G148*$M148*$AW$12)</f>
        <v>0</v>
      </c>
      <c r="AX148" s="182"/>
      <c r="AY148" s="187">
        <f>(AX148*$E148*$F148*$G148*$M148*$AY$12)</f>
        <v>0</v>
      </c>
      <c r="AZ148" s="182"/>
      <c r="BA148" s="182">
        <f>(AZ148*$E148*$F148*$G148*$L148*$BA$12)</f>
        <v>0</v>
      </c>
      <c r="BB148" s="182">
        <v>0</v>
      </c>
      <c r="BC148" s="182">
        <f>(BB148*$E148*$F148*$G148*$L148*$BC$12)</f>
        <v>0</v>
      </c>
      <c r="BD148" s="182"/>
      <c r="BE148" s="182">
        <f>(BD148*$E148*$F148*$G148*$L148*$BE$12)</f>
        <v>0</v>
      </c>
      <c r="BF148" s="182"/>
      <c r="BG148" s="182">
        <f>(BF148*$E148*$F148*$G148*$L148*$BG$12)</f>
        <v>0</v>
      </c>
      <c r="BH148" s="182"/>
      <c r="BI148" s="183">
        <f>(BH148*$E148*$F148*$G148*$L148*$BI$12)</f>
        <v>0</v>
      </c>
      <c r="BJ148" s="182"/>
      <c r="BK148" s="183">
        <f>(BJ148*$E148*$F148*$G148*$L148*$BK$12)</f>
        <v>0</v>
      </c>
      <c r="BL148" s="182"/>
      <c r="BM148" s="182">
        <f>(BL148*$E148*$F148*$G148*$L148*$BM$12)</f>
        <v>0</v>
      </c>
      <c r="BN148" s="182"/>
      <c r="BO148" s="182">
        <f>(BN148*$E148*$F148*$G148*$M148*$BO$12)</f>
        <v>0</v>
      </c>
      <c r="BP148" s="182"/>
      <c r="BQ148" s="182">
        <f>(BP148*$E148*$F148*$G148*$M148*$BQ$12)</f>
        <v>0</v>
      </c>
      <c r="BR148" s="182"/>
      <c r="BS148" s="183">
        <f>(BR148*$E148*$F148*$G148*$M148*$BS$12)</f>
        <v>0</v>
      </c>
      <c r="BT148" s="182"/>
      <c r="BU148" s="182">
        <f>(BT148*$E148*$F148*$G148*$M148*$BU$12)</f>
        <v>0</v>
      </c>
      <c r="BV148" s="182"/>
      <c r="BW148" s="182">
        <f>(BV148*$E148*$F148*$G148*$M148*$BW$12)</f>
        <v>0</v>
      </c>
      <c r="BX148" s="182"/>
      <c r="BY148" s="183">
        <f>(BX148*$E148*$F148*$G148*$M148*$BY$12)</f>
        <v>0</v>
      </c>
      <c r="BZ148" s="182"/>
      <c r="CA148" s="187">
        <f>(BZ148*$E148*$F148*$G148*$M148*$CA$12)</f>
        <v>0</v>
      </c>
      <c r="CB148" s="182"/>
      <c r="CC148" s="182">
        <f>(CB148*$E148*$F148*$G148*$L148*$CC$12)</f>
        <v>0</v>
      </c>
      <c r="CD148" s="182"/>
      <c r="CE148" s="182">
        <f>(CD148*$E148*$F148*$G148*$L148*$CE$12)</f>
        <v>0</v>
      </c>
      <c r="CF148" s="182"/>
      <c r="CG148" s="182">
        <f>(CF148*$E148*$F148*$G148*$L148*$CG$12)</f>
        <v>0</v>
      </c>
      <c r="CH148" s="182"/>
      <c r="CI148" s="182">
        <f>(CH148*$E148*$F148*$G148*$M148*$CI$12)</f>
        <v>0</v>
      </c>
      <c r="CJ148" s="182"/>
      <c r="CK148" s="182"/>
      <c r="CL148" s="182"/>
      <c r="CM148" s="183">
        <f>(CL148*$E148*$F148*$G148*$L148*$CM$12)</f>
        <v>0</v>
      </c>
      <c r="CN148" s="182"/>
      <c r="CO148" s="183">
        <f>(CN148*$E148*$F148*$G148*$L148*$CO$12)</f>
        <v>0</v>
      </c>
      <c r="CP148" s="182"/>
      <c r="CQ148" s="182">
        <f>(CP148*$E148*$F148*$G148*$L148*$CQ$12)</f>
        <v>0</v>
      </c>
      <c r="CR148" s="182"/>
      <c r="CS148" s="182">
        <f>(CR148*$E148*$F148*$G148*$L148*$CS$12)</f>
        <v>0</v>
      </c>
      <c r="CT148" s="182"/>
      <c r="CU148" s="182">
        <f>(CT148*$E148*$F148*$G148*$L148*$CU$12)</f>
        <v>0</v>
      </c>
      <c r="CV148" s="182"/>
      <c r="CW148" s="182">
        <v>0</v>
      </c>
      <c r="CX148" s="182"/>
      <c r="CY148" s="182">
        <f>(CX148*$E148*$F148*$G148*$M148*$CY$12)</f>
        <v>0</v>
      </c>
      <c r="CZ148" s="182"/>
      <c r="DA148" s="182">
        <v>0</v>
      </c>
      <c r="DB148" s="188"/>
      <c r="DC148" s="182">
        <f>(DB148*$E148*$F148*$G148*$M148*$DC$12)</f>
        <v>0</v>
      </c>
      <c r="DD148" s="182"/>
      <c r="DE148" s="187">
        <f t="shared" si="625"/>
        <v>0</v>
      </c>
      <c r="DF148" s="182"/>
      <c r="DG148" s="182">
        <f>(DF148*$E148*$F148*$G148*$M148*$DG$12)</f>
        <v>0</v>
      </c>
      <c r="DH148" s="189"/>
      <c r="DI148" s="182">
        <f>(DH148*$E148*$F148*$G148*$M148*$DI$12)</f>
        <v>0</v>
      </c>
      <c r="DJ148" s="182"/>
      <c r="DK148" s="182">
        <f>(DJ148*$E148*$F148*$G148*$M148*$DK$12)</f>
        <v>0</v>
      </c>
      <c r="DL148" s="182"/>
      <c r="DM148" s="182">
        <f>(DL148*$E148*$F148*$G148*$N148*$DM$12)</f>
        <v>0</v>
      </c>
      <c r="DN148" s="182"/>
      <c r="DO148" s="190">
        <f>(DN148*$E148*$F148*$G148*$O148*$DO$12)</f>
        <v>0</v>
      </c>
      <c r="DP148" s="187"/>
      <c r="DQ148" s="187"/>
      <c r="DR148" s="183">
        <f t="shared" si="604"/>
        <v>116</v>
      </c>
      <c r="DS148" s="183">
        <f t="shared" si="604"/>
        <v>6621970.2105929814</v>
      </c>
      <c r="DT148" s="182">
        <v>121</v>
      </c>
      <c r="DU148" s="182">
        <v>6894847.4069999997</v>
      </c>
      <c r="DV148" s="167">
        <f t="shared" si="626"/>
        <v>-5</v>
      </c>
      <c r="DW148" s="167">
        <f t="shared" si="626"/>
        <v>-272877.19640701823</v>
      </c>
    </row>
    <row r="149" spans="1:127" ht="30" customHeight="1" x14ac:dyDescent="0.25">
      <c r="A149" s="154"/>
      <c r="B149" s="176">
        <v>118</v>
      </c>
      <c r="C149" s="177" t="s">
        <v>386</v>
      </c>
      <c r="D149" s="210" t="s">
        <v>387</v>
      </c>
      <c r="E149" s="158">
        <v>25969</v>
      </c>
      <c r="F149" s="179">
        <v>2.19</v>
      </c>
      <c r="G149" s="243">
        <v>0.9</v>
      </c>
      <c r="H149" s="242"/>
      <c r="I149" s="242"/>
      <c r="J149" s="242"/>
      <c r="K149" s="106"/>
      <c r="L149" s="180">
        <v>1.4</v>
      </c>
      <c r="M149" s="180">
        <v>1.68</v>
      </c>
      <c r="N149" s="180">
        <v>2.23</v>
      </c>
      <c r="O149" s="181">
        <v>2.57</v>
      </c>
      <c r="P149" s="182">
        <v>50</v>
      </c>
      <c r="Q149" s="182">
        <f t="shared" ref="Q149:Q150" si="627">(P149*$E149*$F149*$G149*$L149)</f>
        <v>3582942.93</v>
      </c>
      <c r="R149" s="182">
        <v>87</v>
      </c>
      <c r="S149" s="187">
        <f t="shared" ref="S149" si="628">(R149*$E149*$F149*$G149*$L149)</f>
        <v>6234320.6982000005</v>
      </c>
      <c r="T149" s="182"/>
      <c r="U149" s="182">
        <f t="shared" ref="U149:U150" si="629">(T149*$E149*$F149*$G149*$L149)</f>
        <v>0</v>
      </c>
      <c r="V149" s="182"/>
      <c r="W149" s="182">
        <f t="shared" ref="W149:W150" si="630">(V149*$E149*$F149*$G149*$L149)</f>
        <v>0</v>
      </c>
      <c r="X149" s="182"/>
      <c r="Y149" s="182">
        <v>0</v>
      </c>
      <c r="Z149" s="182"/>
      <c r="AA149" s="182">
        <v>0</v>
      </c>
      <c r="AB149" s="182">
        <f t="shared" si="598"/>
        <v>0</v>
      </c>
      <c r="AC149" s="182">
        <f t="shared" si="598"/>
        <v>0</v>
      </c>
      <c r="AD149" s="182"/>
      <c r="AE149" s="182">
        <f t="shared" ref="AE149:AE150" si="631">(AD149*$E149*$F149*$G149*$L149)</f>
        <v>0</v>
      </c>
      <c r="AF149" s="182"/>
      <c r="AG149" s="182"/>
      <c r="AH149" s="182"/>
      <c r="AI149" s="182">
        <f t="shared" ref="AI149:AI150" si="632">(AH149*$E149*$F149*$G149*$L149)</f>
        <v>0</v>
      </c>
      <c r="AJ149" s="182"/>
      <c r="AK149" s="182"/>
      <c r="AL149" s="182"/>
      <c r="AM149" s="182"/>
      <c r="AN149" s="184"/>
      <c r="AO149" s="182">
        <f t="shared" ref="AO149:AO150" si="633">(AN149*$E149*$F149*$G149*$L149)</f>
        <v>0</v>
      </c>
      <c r="AP149" s="182"/>
      <c r="AQ149" s="182">
        <f t="shared" ref="AQ149:AQ150" si="634">(AP149*$E149*$F149*$G149*$L149)</f>
        <v>0</v>
      </c>
      <c r="AR149" s="182"/>
      <c r="AS149" s="182">
        <f t="shared" ref="AS149:AS150" si="635">(AR149*$E149*$F149*$G149*$L149)</f>
        <v>0</v>
      </c>
      <c r="AT149" s="182">
        <v>2</v>
      </c>
      <c r="AU149" s="183">
        <f t="shared" ref="AU149:AU150" si="636">(AT149*$E149*$F149*$G149*$M149)</f>
        <v>171981.26064000002</v>
      </c>
      <c r="AV149" s="188"/>
      <c r="AW149" s="182">
        <f t="shared" ref="AW149:AW150" si="637">(AV149*$E149*$F149*$G149*$M149)</f>
        <v>0</v>
      </c>
      <c r="AX149" s="182"/>
      <c r="AY149" s="187">
        <f t="shared" ref="AY149:AY150" si="638">(AX149*$E149*$F149*$G149*$M149)</f>
        <v>0</v>
      </c>
      <c r="AZ149" s="182"/>
      <c r="BA149" s="182">
        <f>(AZ149*$E149*$F149*$G149*$L149*$AO$12)</f>
        <v>0</v>
      </c>
      <c r="BB149" s="182">
        <v>0</v>
      </c>
      <c r="BC149" s="182">
        <f t="shared" ref="BC149:BC150" si="639">(BB149*$E149*$F149*$G149*$L149*BC$12)</f>
        <v>0</v>
      </c>
      <c r="BD149" s="182"/>
      <c r="BE149" s="182">
        <f>(BD149*$E149*$F149*$G149*$L149*BE$12)</f>
        <v>0</v>
      </c>
      <c r="BF149" s="182"/>
      <c r="BG149" s="182">
        <f t="shared" ref="BG149:BG150" si="640">(BF149*$E149*$F149*$G149*$L149)</f>
        <v>0</v>
      </c>
      <c r="BH149" s="182"/>
      <c r="BI149" s="182">
        <f t="shared" ref="BI149:BI150" si="641">(BH149*$E149*$F149*$G149*$L149)</f>
        <v>0</v>
      </c>
      <c r="BJ149" s="182"/>
      <c r="BK149" s="182"/>
      <c r="BL149" s="182"/>
      <c r="BM149" s="182">
        <f t="shared" ref="BM149:BM150" si="642">(BL149*$E149*$F149*$G149*$L149)</f>
        <v>0</v>
      </c>
      <c r="BN149" s="182"/>
      <c r="BO149" s="182">
        <f t="shared" ref="BO149:BO150" si="643">(BN149*$E149*$F149*$G149*$M149)</f>
        <v>0</v>
      </c>
      <c r="BP149" s="182"/>
      <c r="BQ149" s="182">
        <f t="shared" ref="BQ149:BQ150" si="644">(BP149*$E149*$F149*$G149*$M149)</f>
        <v>0</v>
      </c>
      <c r="BR149" s="182"/>
      <c r="BS149" s="182">
        <f t="shared" ref="BS149:BS150" si="645">(BR149*$E149*$F149*$G149*$M149)</f>
        <v>0</v>
      </c>
      <c r="BT149" s="182"/>
      <c r="BU149" s="182">
        <f t="shared" ref="BU149:BU150" si="646">(BT149*$E149*$F149*$G149*$M149)</f>
        <v>0</v>
      </c>
      <c r="BV149" s="182"/>
      <c r="BW149" s="182">
        <f t="shared" ref="BW149:BW150" si="647">(BV149*$E149*$F149*$G149*$M149)</f>
        <v>0</v>
      </c>
      <c r="BX149" s="182"/>
      <c r="BY149" s="182">
        <f t="shared" ref="BY149:BY150" si="648">(BX149*$E149*$F149*$G149*$M149)</f>
        <v>0</v>
      </c>
      <c r="BZ149" s="182"/>
      <c r="CA149" s="187">
        <f t="shared" ref="CA149:CA150" si="649">(BZ149*$E149*$F149*$G149*$M149)</f>
        <v>0</v>
      </c>
      <c r="CB149" s="182"/>
      <c r="CC149" s="182">
        <f t="shared" ref="CC149:CC150" si="650">(CB149*$E149*$F149*$G149*$L149)</f>
        <v>0</v>
      </c>
      <c r="CD149" s="182"/>
      <c r="CE149" s="183">
        <f t="shared" ref="CE149:CE150" si="651">(CD149*$E149*$F149*$G149*$L149)</f>
        <v>0</v>
      </c>
      <c r="CF149" s="182"/>
      <c r="CG149" s="182">
        <f t="shared" ref="CG149:CG150" si="652">(CF149*$E149*$F149*$G149*$L149)</f>
        <v>0</v>
      </c>
      <c r="CH149" s="182"/>
      <c r="CI149" s="182">
        <f t="shared" ref="CI149:CI150" si="653">(CH149*$E149*$F149*$G149*$M149)</f>
        <v>0</v>
      </c>
      <c r="CJ149" s="182"/>
      <c r="CK149" s="182"/>
      <c r="CL149" s="182"/>
      <c r="CM149" s="182">
        <f t="shared" ref="CM149:CM150" si="654">(CL149*$E149*$F149*$G149*$L149)</f>
        <v>0</v>
      </c>
      <c r="CN149" s="182"/>
      <c r="CO149" s="182">
        <f t="shared" ref="CO149:CO150" si="655">(CN149*$E149*$F149*$G149*$L149)</f>
        <v>0</v>
      </c>
      <c r="CP149" s="182"/>
      <c r="CQ149" s="182">
        <f t="shared" ref="CQ149:CQ150" si="656">(CP149*$E149*$F149*$G149*$L149)</f>
        <v>0</v>
      </c>
      <c r="CR149" s="182"/>
      <c r="CS149" s="182">
        <f t="shared" ref="CS149:CS150" si="657">(CR149*$E149*$F149*$G149*$L149)</f>
        <v>0</v>
      </c>
      <c r="CT149" s="182"/>
      <c r="CU149" s="182">
        <f t="shared" ref="CU149:CU150" si="658">(CT149*$E149*$F149*$G149*$L149)</f>
        <v>0</v>
      </c>
      <c r="CV149" s="182"/>
      <c r="CW149" s="182">
        <v>0</v>
      </c>
      <c r="CX149" s="182"/>
      <c r="CY149" s="182">
        <f t="shared" ref="CY149:CY150" si="659">(CX149*$E149*$F149*$G149*$M149)</f>
        <v>0</v>
      </c>
      <c r="CZ149" s="182"/>
      <c r="DA149" s="182">
        <v>0</v>
      </c>
      <c r="DB149" s="188"/>
      <c r="DC149" s="182">
        <f t="shared" ref="DC149:DC150" si="660">(DB149*$E149*$F149*$G149*$M149)</f>
        <v>0</v>
      </c>
      <c r="DD149" s="182"/>
      <c r="DE149" s="187">
        <f t="shared" ref="DE149:DE150" si="661">(DD149*$E149*$F149*$G149*$M149)</f>
        <v>0</v>
      </c>
      <c r="DF149" s="182"/>
      <c r="DG149" s="182"/>
      <c r="DH149" s="189"/>
      <c r="DI149" s="182">
        <f t="shared" ref="DI149:DI150" si="662">(DH149*$E149*$F149*$G149*$M149)</f>
        <v>0</v>
      </c>
      <c r="DJ149" s="182"/>
      <c r="DK149" s="182">
        <f t="shared" ref="DK149:DK150" si="663">(DJ149*$E149*$F149*$G149*$M149)</f>
        <v>0</v>
      </c>
      <c r="DL149" s="182"/>
      <c r="DM149" s="182">
        <f t="shared" ref="DM149:DM150" si="664">(DL149*$E149*$F149*$G149*$N149)</f>
        <v>0</v>
      </c>
      <c r="DN149" s="182"/>
      <c r="DO149" s="187">
        <f t="shared" ref="DO149:DO150" si="665">(DN149*$E149*$F149*$G149*$O149)</f>
        <v>0</v>
      </c>
      <c r="DP149" s="187"/>
      <c r="DQ149" s="187"/>
      <c r="DR149" s="183">
        <f t="shared" si="604"/>
        <v>139</v>
      </c>
      <c r="DS149" s="183">
        <f t="shared" si="604"/>
        <v>9989244.8888400011</v>
      </c>
      <c r="DT149" s="182">
        <v>122</v>
      </c>
      <c r="DU149" s="182">
        <v>8771044.2926400006</v>
      </c>
      <c r="DV149" s="167">
        <f t="shared" si="626"/>
        <v>17</v>
      </c>
      <c r="DW149" s="167">
        <f t="shared" si="626"/>
        <v>1218200.5962000005</v>
      </c>
    </row>
    <row r="150" spans="1:127" ht="30" customHeight="1" x14ac:dyDescent="0.25">
      <c r="A150" s="154"/>
      <c r="B150" s="176">
        <v>119</v>
      </c>
      <c r="C150" s="177" t="s">
        <v>388</v>
      </c>
      <c r="D150" s="210" t="s">
        <v>389</v>
      </c>
      <c r="E150" s="158">
        <v>25969</v>
      </c>
      <c r="F150" s="179">
        <v>2.42</v>
      </c>
      <c r="G150" s="168">
        <v>1</v>
      </c>
      <c r="H150" s="169"/>
      <c r="I150" s="169"/>
      <c r="J150" s="169"/>
      <c r="K150" s="106"/>
      <c r="L150" s="180">
        <v>1.4</v>
      </c>
      <c r="M150" s="180">
        <v>1.68</v>
      </c>
      <c r="N150" s="180">
        <v>2.23</v>
      </c>
      <c r="O150" s="181">
        <v>2.57</v>
      </c>
      <c r="P150" s="182">
        <v>2</v>
      </c>
      <c r="Q150" s="182">
        <f t="shared" si="627"/>
        <v>175965.94399999999</v>
      </c>
      <c r="R150" s="182"/>
      <c r="S150" s="187">
        <f>(R150*$E150*$F150*$G150*$L150)</f>
        <v>0</v>
      </c>
      <c r="T150" s="182"/>
      <c r="U150" s="182">
        <f t="shared" si="629"/>
        <v>0</v>
      </c>
      <c r="V150" s="182"/>
      <c r="W150" s="182">
        <f t="shared" si="630"/>
        <v>0</v>
      </c>
      <c r="X150" s="182"/>
      <c r="Y150" s="182">
        <v>0</v>
      </c>
      <c r="Z150" s="182"/>
      <c r="AA150" s="182">
        <v>0</v>
      </c>
      <c r="AB150" s="182">
        <f t="shared" si="598"/>
        <v>0</v>
      </c>
      <c r="AC150" s="182">
        <f t="shared" si="598"/>
        <v>0</v>
      </c>
      <c r="AD150" s="182"/>
      <c r="AE150" s="182">
        <f t="shared" si="631"/>
        <v>0</v>
      </c>
      <c r="AF150" s="182"/>
      <c r="AG150" s="182"/>
      <c r="AH150" s="182"/>
      <c r="AI150" s="182">
        <f t="shared" si="632"/>
        <v>0</v>
      </c>
      <c r="AJ150" s="182"/>
      <c r="AK150" s="182"/>
      <c r="AL150" s="182"/>
      <c r="AM150" s="182"/>
      <c r="AN150" s="184"/>
      <c r="AO150" s="182">
        <f t="shared" si="633"/>
        <v>0</v>
      </c>
      <c r="AP150" s="182"/>
      <c r="AQ150" s="182">
        <f t="shared" si="634"/>
        <v>0</v>
      </c>
      <c r="AR150" s="182"/>
      <c r="AS150" s="182">
        <f t="shared" si="635"/>
        <v>0</v>
      </c>
      <c r="AT150" s="182"/>
      <c r="AU150" s="183">
        <f t="shared" si="636"/>
        <v>0</v>
      </c>
      <c r="AV150" s="188"/>
      <c r="AW150" s="182">
        <f t="shared" si="637"/>
        <v>0</v>
      </c>
      <c r="AX150" s="182"/>
      <c r="AY150" s="187">
        <f t="shared" si="638"/>
        <v>0</v>
      </c>
      <c r="AZ150" s="182"/>
      <c r="BA150" s="182">
        <f>(AZ150*$E150*$F150*$G150*$L150*$AO$12)</f>
        <v>0</v>
      </c>
      <c r="BB150" s="182">
        <v>0</v>
      </c>
      <c r="BC150" s="182">
        <f t="shared" si="639"/>
        <v>0</v>
      </c>
      <c r="BD150" s="182"/>
      <c r="BE150" s="182">
        <f>(BD150*$E150*$F150*$G150*$L150*BE$12)</f>
        <v>0</v>
      </c>
      <c r="BF150" s="182"/>
      <c r="BG150" s="182">
        <f t="shared" si="640"/>
        <v>0</v>
      </c>
      <c r="BH150" s="182"/>
      <c r="BI150" s="182">
        <f t="shared" si="641"/>
        <v>0</v>
      </c>
      <c r="BJ150" s="182"/>
      <c r="BK150" s="182"/>
      <c r="BL150" s="182"/>
      <c r="BM150" s="182">
        <f t="shared" si="642"/>
        <v>0</v>
      </c>
      <c r="BN150" s="182"/>
      <c r="BO150" s="182">
        <f t="shared" si="643"/>
        <v>0</v>
      </c>
      <c r="BP150" s="182"/>
      <c r="BQ150" s="182">
        <f t="shared" si="644"/>
        <v>0</v>
      </c>
      <c r="BR150" s="182"/>
      <c r="BS150" s="182">
        <f t="shared" si="645"/>
        <v>0</v>
      </c>
      <c r="BT150" s="182"/>
      <c r="BU150" s="182">
        <f t="shared" si="646"/>
        <v>0</v>
      </c>
      <c r="BV150" s="182"/>
      <c r="BW150" s="182">
        <f t="shared" si="647"/>
        <v>0</v>
      </c>
      <c r="BX150" s="182"/>
      <c r="BY150" s="182">
        <f t="shared" si="648"/>
        <v>0</v>
      </c>
      <c r="BZ150" s="182"/>
      <c r="CA150" s="187">
        <f t="shared" si="649"/>
        <v>0</v>
      </c>
      <c r="CB150" s="182"/>
      <c r="CC150" s="182">
        <f t="shared" si="650"/>
        <v>0</v>
      </c>
      <c r="CD150" s="182"/>
      <c r="CE150" s="183">
        <f t="shared" si="651"/>
        <v>0</v>
      </c>
      <c r="CF150" s="182"/>
      <c r="CG150" s="182">
        <f t="shared" si="652"/>
        <v>0</v>
      </c>
      <c r="CH150" s="182"/>
      <c r="CI150" s="182">
        <f t="shared" si="653"/>
        <v>0</v>
      </c>
      <c r="CJ150" s="182"/>
      <c r="CK150" s="182"/>
      <c r="CL150" s="182"/>
      <c r="CM150" s="182">
        <f t="shared" si="654"/>
        <v>0</v>
      </c>
      <c r="CN150" s="182"/>
      <c r="CO150" s="182">
        <f t="shared" si="655"/>
        <v>0</v>
      </c>
      <c r="CP150" s="182"/>
      <c r="CQ150" s="182">
        <f t="shared" si="656"/>
        <v>0</v>
      </c>
      <c r="CR150" s="182"/>
      <c r="CS150" s="182">
        <f t="shared" si="657"/>
        <v>0</v>
      </c>
      <c r="CT150" s="182"/>
      <c r="CU150" s="182">
        <f t="shared" si="658"/>
        <v>0</v>
      </c>
      <c r="CV150" s="182"/>
      <c r="CW150" s="182">
        <v>0</v>
      </c>
      <c r="CX150" s="182"/>
      <c r="CY150" s="182">
        <f t="shared" si="659"/>
        <v>0</v>
      </c>
      <c r="CZ150" s="182"/>
      <c r="DA150" s="182">
        <v>0</v>
      </c>
      <c r="DB150" s="188"/>
      <c r="DC150" s="182">
        <f t="shared" si="660"/>
        <v>0</v>
      </c>
      <c r="DD150" s="182"/>
      <c r="DE150" s="187">
        <f t="shared" si="661"/>
        <v>0</v>
      </c>
      <c r="DF150" s="182"/>
      <c r="DG150" s="182"/>
      <c r="DH150" s="189"/>
      <c r="DI150" s="182">
        <f t="shared" si="662"/>
        <v>0</v>
      </c>
      <c r="DJ150" s="182"/>
      <c r="DK150" s="182">
        <f t="shared" si="663"/>
        <v>0</v>
      </c>
      <c r="DL150" s="182"/>
      <c r="DM150" s="182">
        <f t="shared" si="664"/>
        <v>0</v>
      </c>
      <c r="DN150" s="182"/>
      <c r="DO150" s="187">
        <f t="shared" si="665"/>
        <v>0</v>
      </c>
      <c r="DP150" s="187"/>
      <c r="DQ150" s="187"/>
      <c r="DR150" s="183">
        <f t="shared" si="604"/>
        <v>2</v>
      </c>
      <c r="DS150" s="183">
        <f t="shared" si="604"/>
        <v>175965.94399999999</v>
      </c>
      <c r="DT150" s="182">
        <v>2</v>
      </c>
      <c r="DU150" s="182">
        <v>175965.94399999999</v>
      </c>
      <c r="DV150" s="167">
        <f t="shared" si="626"/>
        <v>0</v>
      </c>
      <c r="DW150" s="167">
        <f t="shared" si="626"/>
        <v>0</v>
      </c>
    </row>
    <row r="151" spans="1:127" ht="30" customHeight="1" x14ac:dyDescent="0.25">
      <c r="A151" s="154"/>
      <c r="B151" s="176">
        <v>120</v>
      </c>
      <c r="C151" s="177" t="s">
        <v>390</v>
      </c>
      <c r="D151" s="210" t="s">
        <v>391</v>
      </c>
      <c r="E151" s="158">
        <v>25969</v>
      </c>
      <c r="F151" s="180">
        <v>1.02</v>
      </c>
      <c r="G151" s="168">
        <v>1</v>
      </c>
      <c r="H151" s="169"/>
      <c r="I151" s="169"/>
      <c r="J151" s="169"/>
      <c r="K151" s="106"/>
      <c r="L151" s="180">
        <v>1.4</v>
      </c>
      <c r="M151" s="180">
        <v>1.68</v>
      </c>
      <c r="N151" s="180">
        <v>2.23</v>
      </c>
      <c r="O151" s="181">
        <v>2.57</v>
      </c>
      <c r="P151" s="182">
        <v>3</v>
      </c>
      <c r="Q151" s="182">
        <f>(P151*$E151*$F151*$G151*$L151*$Q$12)</f>
        <v>122376.3156</v>
      </c>
      <c r="R151" s="182">
        <v>60</v>
      </c>
      <c r="S151" s="182">
        <f>(R151*$E151*$F151*$G151*$L151*$S$12)</f>
        <v>2447526.3119999999</v>
      </c>
      <c r="T151" s="182">
        <f>3+10</f>
        <v>13</v>
      </c>
      <c r="U151" s="182">
        <f t="shared" ref="U151" si="666">(T151/12*11*$E151*$F151*$G151*$L151*$U$12)+(T151/12*1*$E151*$F151*$G151*$L151*$U$14)</f>
        <v>608636.75144999987</v>
      </c>
      <c r="V151" s="182"/>
      <c r="W151" s="183">
        <f>(V151*$E151*$F151*$G151*$L151*$W$12)/12*10+(V151*$E151*$F151*$G151*$L151*$W$13)/12*1++(V151*$E151*$F151*$G151*$L151*$W$14)/12*1</f>
        <v>0</v>
      </c>
      <c r="X151" s="183">
        <v>3</v>
      </c>
      <c r="Y151" s="183">
        <v>155751.67439999999</v>
      </c>
      <c r="Z151" s="183"/>
      <c r="AA151" s="183">
        <v>0</v>
      </c>
      <c r="AB151" s="182">
        <f>X151+Z151</f>
        <v>3</v>
      </c>
      <c r="AC151" s="182">
        <f>Y151+AA151</f>
        <v>155751.67439999999</v>
      </c>
      <c r="AD151" s="182"/>
      <c r="AE151" s="182">
        <f>(AD151*$E151*$F151*$G151*$L151*$AE$12)</f>
        <v>0</v>
      </c>
      <c r="AF151" s="182"/>
      <c r="AG151" s="182"/>
      <c r="AH151" s="182"/>
      <c r="AI151" s="182">
        <f>(AH151*$E151*$F151*$G151*$L151*$AI$12)</f>
        <v>0</v>
      </c>
      <c r="AJ151" s="182"/>
      <c r="AK151" s="182"/>
      <c r="AL151" s="182"/>
      <c r="AM151" s="182"/>
      <c r="AN151" s="205">
        <v>1</v>
      </c>
      <c r="AO151" s="182">
        <f>(AN151*$E151*$F151*$G151*$L151*$AO$12)</f>
        <v>40792.105199999998</v>
      </c>
      <c r="AP151" s="182"/>
      <c r="AQ151" s="183">
        <f>(AP151*$E151*$F151*$G151*$L151*$AQ$12)</f>
        <v>0</v>
      </c>
      <c r="AR151" s="182"/>
      <c r="AS151" s="182">
        <f>(AR151*$E151*$F151*$G151*$L151*$AS$12)/12*10+(AR151*$E151*$F151*$G151*$L151*$AS$13)/12*1+(AR151*$E151*$F151*$G151*$L151*$AS$14)/12*1</f>
        <v>0</v>
      </c>
      <c r="AT151" s="182">
        <v>19</v>
      </c>
      <c r="AU151" s="182">
        <f>(AT151*$E151*$F151*$G151*$M151*$AU$12)/12*10+(AT151*$E151*$F151*$G151*$M151*$AU$13)/12+(AT151*$E151*$F151*$G151*$M151*$AU$14*$AU$15)/12</f>
        <v>974364.25210049527</v>
      </c>
      <c r="AV151" s="188"/>
      <c r="AW151" s="182">
        <f>(AV151*$E151*$F151*$G151*$M151*$AW$12)</f>
        <v>0</v>
      </c>
      <c r="AX151" s="182"/>
      <c r="AY151" s="187">
        <f>(AX151*$E151*$F151*$G151*$M151*$AY$12)</f>
        <v>0</v>
      </c>
      <c r="AZ151" s="182"/>
      <c r="BA151" s="182">
        <f>(AZ151*$E151*$F151*$G151*$L151*$BA$12)</f>
        <v>0</v>
      </c>
      <c r="BB151" s="182">
        <v>0</v>
      </c>
      <c r="BC151" s="182">
        <f>(BB151*$E151*$F151*$G151*$L151*$BC$12)</f>
        <v>0</v>
      </c>
      <c r="BD151" s="182"/>
      <c r="BE151" s="182">
        <f>(BD151*$E151*$F151*$G151*$L151*$BE$12)</f>
        <v>0</v>
      </c>
      <c r="BF151" s="182"/>
      <c r="BG151" s="182">
        <f>(BF151*$E151*$F151*$G151*$L151*$BG$12)</f>
        <v>0</v>
      </c>
      <c r="BH151" s="182"/>
      <c r="BI151" s="183">
        <f>(BH151*$E151*$F151*$G151*$L151*$BI$12)</f>
        <v>0</v>
      </c>
      <c r="BJ151" s="182"/>
      <c r="BK151" s="183">
        <f>(BJ151*$E151*$F151*$G151*$L151*$BK$12)</f>
        <v>0</v>
      </c>
      <c r="BL151" s="182"/>
      <c r="BM151" s="182">
        <f>(BL151*$E151*$F151*$G151*$L151*$BM$12)</f>
        <v>0</v>
      </c>
      <c r="BN151" s="182">
        <v>1</v>
      </c>
      <c r="BO151" s="182">
        <f>(BN151*$E151*$F151*$G151*$M151*$BO$12)</f>
        <v>48950.526240000007</v>
      </c>
      <c r="BP151" s="182"/>
      <c r="BQ151" s="182">
        <f>(BP151*$E151*$F151*$G151*$M151*$BQ$12)</f>
        <v>0</v>
      </c>
      <c r="BR151" s="182"/>
      <c r="BS151" s="183">
        <f>(BR151*$E151*$F151*$G151*$M151*$BS$12)</f>
        <v>0</v>
      </c>
      <c r="BT151" s="182"/>
      <c r="BU151" s="182">
        <f>(BT151*$E151*$F151*$G151*$M151*$BU$12)</f>
        <v>0</v>
      </c>
      <c r="BV151" s="182"/>
      <c r="BW151" s="182">
        <f>(BV151*$E151*$F151*$G151*$M151*$BW$12)</f>
        <v>0</v>
      </c>
      <c r="BX151" s="182"/>
      <c r="BY151" s="183">
        <f>(BX151*$E151*$F151*$G151*$M151*$BY$12)</f>
        <v>0</v>
      </c>
      <c r="BZ151" s="182">
        <v>2</v>
      </c>
      <c r="CA151" s="187">
        <f t="shared" ref="CA151" si="667">(BZ151*$E151*$F151*$G151*$M151*$CA$12)/12*11+(BZ151*$E151*$F151*$G151*$M151*$CA$12*$CA$15)/12</f>
        <v>116317.57546584</v>
      </c>
      <c r="CB151" s="182"/>
      <c r="CC151" s="182">
        <f>(CB151*$E151*$F151*$G151*$L151*$CC$12)</f>
        <v>0</v>
      </c>
      <c r="CD151" s="182"/>
      <c r="CE151" s="182">
        <f>(CD151*$E151*$F151*$G151*$L151*$CE$12)</f>
        <v>0</v>
      </c>
      <c r="CF151" s="182"/>
      <c r="CG151" s="182">
        <f>(CF151*$E151*$F151*$G151*$L151*$CG$12)</f>
        <v>0</v>
      </c>
      <c r="CH151" s="182"/>
      <c r="CI151" s="182">
        <f>(CH151*$E151*$F151*$G151*$M151*$CI$12)</f>
        <v>0</v>
      </c>
      <c r="CJ151" s="182"/>
      <c r="CK151" s="182"/>
      <c r="CL151" s="182"/>
      <c r="CM151" s="183">
        <f>(CL151*$E151*$F151*$G151*$L151*$CM$12)</f>
        <v>0</v>
      </c>
      <c r="CN151" s="182"/>
      <c r="CO151" s="183">
        <f>(CN151*$E151*$F151*$G151*$L151*$CO$12)</f>
        <v>0</v>
      </c>
      <c r="CP151" s="182"/>
      <c r="CQ151" s="182">
        <f>(CP151*$E151*$F151*$G151*$L151*$CQ$12)</f>
        <v>0</v>
      </c>
      <c r="CR151" s="182"/>
      <c r="CS151" s="182">
        <f>(CR151*$E151*$F151*$G151*$L151*$CS$12)</f>
        <v>0</v>
      </c>
      <c r="CT151" s="182"/>
      <c r="CU151" s="182">
        <f>(CT151*$E151*$F151*$G151*$L151*$CU$12)</f>
        <v>0</v>
      </c>
      <c r="CV151" s="182"/>
      <c r="CW151" s="182">
        <v>0</v>
      </c>
      <c r="CX151" s="182"/>
      <c r="CY151" s="182">
        <f>(CX151*$E151*$F151*$G151*$M151*$CY$12)</f>
        <v>0</v>
      </c>
      <c r="CZ151" s="182"/>
      <c r="DA151" s="182">
        <v>0</v>
      </c>
      <c r="DB151" s="188"/>
      <c r="DC151" s="182">
        <f>(DB151*$E151*$F151*$G151*$M151*$DC$12)</f>
        <v>0</v>
      </c>
      <c r="DD151" s="182"/>
      <c r="DE151" s="187">
        <f>(DD151*$E151*$F151*$G151*$M151*DE$12)</f>
        <v>0</v>
      </c>
      <c r="DF151" s="182"/>
      <c r="DG151" s="182">
        <f>(DF151*$E151*$F151*$G151*$M151*$DG$12)</f>
        <v>0</v>
      </c>
      <c r="DH151" s="189"/>
      <c r="DI151" s="182">
        <f>(DH151*$E151*$F151*$G151*$M151*$DI$12)</f>
        <v>0</v>
      </c>
      <c r="DJ151" s="182"/>
      <c r="DK151" s="182">
        <f>(DJ151*$E151*$F151*$G151*$M151*$DK$12)</f>
        <v>0</v>
      </c>
      <c r="DL151" s="182"/>
      <c r="DM151" s="182">
        <f>(DL151*$E151*$F151*$G151*$N151*$DM$12)</f>
        <v>0</v>
      </c>
      <c r="DN151" s="182"/>
      <c r="DO151" s="190">
        <f>(DN151*$E151*$F151*$G151*$O151*$DO$12)</f>
        <v>0</v>
      </c>
      <c r="DP151" s="187"/>
      <c r="DQ151" s="187"/>
      <c r="DR151" s="183">
        <f t="shared" si="604"/>
        <v>102</v>
      </c>
      <c r="DS151" s="183">
        <f t="shared" si="604"/>
        <v>4514715.5124563351</v>
      </c>
      <c r="DT151" s="182">
        <v>97</v>
      </c>
      <c r="DU151" s="182">
        <v>4272045.9264000002</v>
      </c>
      <c r="DV151" s="167">
        <f t="shared" si="626"/>
        <v>5</v>
      </c>
      <c r="DW151" s="167">
        <f t="shared" si="626"/>
        <v>242669.5860563349</v>
      </c>
    </row>
    <row r="152" spans="1:127" ht="15.75" customHeight="1" x14ac:dyDescent="0.25">
      <c r="A152" s="170">
        <v>17</v>
      </c>
      <c r="B152" s="246"/>
      <c r="C152" s="247"/>
      <c r="D152" s="211" t="s">
        <v>392</v>
      </c>
      <c r="E152" s="158">
        <v>25969</v>
      </c>
      <c r="F152" s="199">
        <v>2.96</v>
      </c>
      <c r="G152" s="171"/>
      <c r="H152" s="169"/>
      <c r="I152" s="169"/>
      <c r="J152" s="169"/>
      <c r="K152" s="173"/>
      <c r="L152" s="174">
        <v>1.4</v>
      </c>
      <c r="M152" s="174">
        <v>1.68</v>
      </c>
      <c r="N152" s="174">
        <v>2.23</v>
      </c>
      <c r="O152" s="175">
        <v>2.57</v>
      </c>
      <c r="P152" s="166">
        <f t="shared" ref="P152:AD152" si="668">SUM(P153:P159)</f>
        <v>0</v>
      </c>
      <c r="Q152" s="166">
        <f t="shared" si="668"/>
        <v>0</v>
      </c>
      <c r="R152" s="166">
        <f t="shared" si="668"/>
        <v>0</v>
      </c>
      <c r="S152" s="166">
        <f t="shared" si="668"/>
        <v>0</v>
      </c>
      <c r="T152" s="166">
        <f t="shared" si="668"/>
        <v>0</v>
      </c>
      <c r="U152" s="166">
        <f t="shared" si="668"/>
        <v>0</v>
      </c>
      <c r="V152" s="166">
        <f t="shared" si="668"/>
        <v>1362</v>
      </c>
      <c r="W152" s="166">
        <f t="shared" si="668"/>
        <v>340171704.2747032</v>
      </c>
      <c r="X152" s="166">
        <v>0</v>
      </c>
      <c r="Y152" s="166">
        <v>0</v>
      </c>
      <c r="Z152" s="166">
        <v>0</v>
      </c>
      <c r="AA152" s="166">
        <v>0</v>
      </c>
      <c r="AB152" s="166">
        <f t="shared" si="668"/>
        <v>0</v>
      </c>
      <c r="AC152" s="166">
        <f t="shared" si="668"/>
        <v>0</v>
      </c>
      <c r="AD152" s="166">
        <f t="shared" si="668"/>
        <v>0</v>
      </c>
      <c r="AE152" s="166">
        <f t="shared" ref="AE152:CP152" si="669">SUM(AE153:AE159)</f>
        <v>0</v>
      </c>
      <c r="AF152" s="166">
        <f t="shared" si="669"/>
        <v>0</v>
      </c>
      <c r="AG152" s="166">
        <f t="shared" si="669"/>
        <v>0</v>
      </c>
      <c r="AH152" s="166">
        <f t="shared" si="669"/>
        <v>0</v>
      </c>
      <c r="AI152" s="166">
        <f t="shared" si="669"/>
        <v>0</v>
      </c>
      <c r="AJ152" s="166">
        <f>SUM(AJ153:AJ159)</f>
        <v>0</v>
      </c>
      <c r="AK152" s="166">
        <f>SUM(AK153:AK159)</f>
        <v>0</v>
      </c>
      <c r="AL152" s="166">
        <f t="shared" si="669"/>
        <v>0</v>
      </c>
      <c r="AM152" s="166">
        <f t="shared" si="669"/>
        <v>0</v>
      </c>
      <c r="AN152" s="166">
        <f t="shared" si="669"/>
        <v>0</v>
      </c>
      <c r="AO152" s="166">
        <f t="shared" si="669"/>
        <v>0</v>
      </c>
      <c r="AP152" s="166">
        <f t="shared" si="669"/>
        <v>0</v>
      </c>
      <c r="AQ152" s="166">
        <f t="shared" si="669"/>
        <v>0</v>
      </c>
      <c r="AR152" s="166">
        <f t="shared" si="669"/>
        <v>0</v>
      </c>
      <c r="AS152" s="166">
        <f t="shared" si="669"/>
        <v>0</v>
      </c>
      <c r="AT152" s="166">
        <f t="shared" si="669"/>
        <v>349</v>
      </c>
      <c r="AU152" s="166">
        <f t="shared" si="669"/>
        <v>89981985.636755586</v>
      </c>
      <c r="AV152" s="166">
        <f t="shared" si="669"/>
        <v>0</v>
      </c>
      <c r="AW152" s="166">
        <f t="shared" si="669"/>
        <v>0</v>
      </c>
      <c r="AX152" s="166">
        <f t="shared" si="669"/>
        <v>0</v>
      </c>
      <c r="AY152" s="166">
        <f t="shared" si="669"/>
        <v>0</v>
      </c>
      <c r="AZ152" s="166">
        <f t="shared" si="669"/>
        <v>0</v>
      </c>
      <c r="BA152" s="166">
        <f t="shared" si="669"/>
        <v>0</v>
      </c>
      <c r="BB152" s="166">
        <f t="shared" si="669"/>
        <v>0</v>
      </c>
      <c r="BC152" s="166">
        <f t="shared" si="669"/>
        <v>0</v>
      </c>
      <c r="BD152" s="166">
        <f t="shared" si="669"/>
        <v>0</v>
      </c>
      <c r="BE152" s="166">
        <f t="shared" si="669"/>
        <v>0</v>
      </c>
      <c r="BF152" s="166">
        <f t="shared" si="669"/>
        <v>0</v>
      </c>
      <c r="BG152" s="166">
        <f t="shared" si="669"/>
        <v>0</v>
      </c>
      <c r="BH152" s="166">
        <f t="shared" si="669"/>
        <v>0</v>
      </c>
      <c r="BI152" s="166">
        <f t="shared" si="669"/>
        <v>0</v>
      </c>
      <c r="BJ152" s="166">
        <f t="shared" si="669"/>
        <v>0</v>
      </c>
      <c r="BK152" s="166">
        <f t="shared" si="669"/>
        <v>0</v>
      </c>
      <c r="BL152" s="166">
        <f t="shared" si="669"/>
        <v>5</v>
      </c>
      <c r="BM152" s="166">
        <f t="shared" si="669"/>
        <v>493791.44886240386</v>
      </c>
      <c r="BN152" s="166">
        <f t="shared" si="669"/>
        <v>1</v>
      </c>
      <c r="BO152" s="166">
        <f t="shared" si="669"/>
        <v>128999.03385599999</v>
      </c>
      <c r="BP152" s="166">
        <f t="shared" si="669"/>
        <v>488</v>
      </c>
      <c r="BQ152" s="166">
        <f t="shared" si="669"/>
        <v>77031796.421717659</v>
      </c>
      <c r="BR152" s="166">
        <f t="shared" si="669"/>
        <v>0</v>
      </c>
      <c r="BS152" s="166">
        <f t="shared" si="669"/>
        <v>0</v>
      </c>
      <c r="BT152" s="166">
        <f t="shared" si="669"/>
        <v>12</v>
      </c>
      <c r="BU152" s="166">
        <f t="shared" si="669"/>
        <v>1518701.5797078987</v>
      </c>
      <c r="BV152" s="166">
        <f t="shared" si="669"/>
        <v>0</v>
      </c>
      <c r="BW152" s="166">
        <f t="shared" si="669"/>
        <v>0</v>
      </c>
      <c r="BX152" s="166">
        <f t="shared" si="669"/>
        <v>5</v>
      </c>
      <c r="BY152" s="166">
        <f t="shared" si="669"/>
        <v>1273535.1924833662</v>
      </c>
      <c r="BZ152" s="166">
        <f t="shared" si="669"/>
        <v>0</v>
      </c>
      <c r="CA152" s="166">
        <f t="shared" si="669"/>
        <v>0</v>
      </c>
      <c r="CB152" s="166">
        <f t="shared" si="669"/>
        <v>0</v>
      </c>
      <c r="CC152" s="166">
        <f t="shared" si="669"/>
        <v>0</v>
      </c>
      <c r="CD152" s="166">
        <f t="shared" si="669"/>
        <v>33</v>
      </c>
      <c r="CE152" s="166">
        <f t="shared" si="669"/>
        <v>3550730.9823999996</v>
      </c>
      <c r="CF152" s="166">
        <f t="shared" si="669"/>
        <v>0</v>
      </c>
      <c r="CG152" s="166">
        <f t="shared" si="669"/>
        <v>0</v>
      </c>
      <c r="CH152" s="166">
        <f t="shared" si="669"/>
        <v>8</v>
      </c>
      <c r="CI152" s="166">
        <f t="shared" si="669"/>
        <v>1009458.4270452023</v>
      </c>
      <c r="CJ152" s="166">
        <f t="shared" si="669"/>
        <v>0</v>
      </c>
      <c r="CK152" s="166">
        <f t="shared" si="669"/>
        <v>0</v>
      </c>
      <c r="CL152" s="166">
        <f t="shared" si="669"/>
        <v>0</v>
      </c>
      <c r="CM152" s="166">
        <f t="shared" si="669"/>
        <v>0</v>
      </c>
      <c r="CN152" s="166">
        <f t="shared" si="669"/>
        <v>0</v>
      </c>
      <c r="CO152" s="166">
        <f t="shared" si="669"/>
        <v>0</v>
      </c>
      <c r="CP152" s="166">
        <f t="shared" si="669"/>
        <v>0</v>
      </c>
      <c r="CQ152" s="166">
        <f t="shared" ref="CQ152:DQ152" si="670">SUM(CQ153:CQ159)</f>
        <v>0</v>
      </c>
      <c r="CR152" s="166">
        <f t="shared" si="670"/>
        <v>21</v>
      </c>
      <c r="CS152" s="166">
        <f t="shared" si="670"/>
        <v>2007606.9231795263</v>
      </c>
      <c r="CT152" s="166">
        <f t="shared" si="670"/>
        <v>0</v>
      </c>
      <c r="CU152" s="166">
        <f t="shared" si="670"/>
        <v>0</v>
      </c>
      <c r="CV152" s="166">
        <f t="shared" si="670"/>
        <v>1</v>
      </c>
      <c r="CW152" s="166">
        <v>165088.04999999999</v>
      </c>
      <c r="CX152" s="166">
        <f t="shared" si="670"/>
        <v>7</v>
      </c>
      <c r="CY152" s="166">
        <f t="shared" si="670"/>
        <v>1336775.2830484414</v>
      </c>
      <c r="CZ152" s="166">
        <f t="shared" si="670"/>
        <v>0</v>
      </c>
      <c r="DA152" s="166">
        <v>0</v>
      </c>
      <c r="DB152" s="166">
        <f t="shared" si="670"/>
        <v>0</v>
      </c>
      <c r="DC152" s="166">
        <f t="shared" si="670"/>
        <v>0</v>
      </c>
      <c r="DD152" s="166">
        <f t="shared" si="670"/>
        <v>0</v>
      </c>
      <c r="DE152" s="166">
        <f t="shared" si="670"/>
        <v>0</v>
      </c>
      <c r="DF152" s="166">
        <f t="shared" si="670"/>
        <v>0</v>
      </c>
      <c r="DG152" s="166">
        <f t="shared" si="670"/>
        <v>0</v>
      </c>
      <c r="DH152" s="166">
        <f t="shared" si="670"/>
        <v>0</v>
      </c>
      <c r="DI152" s="166">
        <f t="shared" si="670"/>
        <v>0</v>
      </c>
      <c r="DJ152" s="166">
        <f t="shared" si="670"/>
        <v>0</v>
      </c>
      <c r="DK152" s="166">
        <f t="shared" si="670"/>
        <v>0</v>
      </c>
      <c r="DL152" s="166">
        <f t="shared" si="670"/>
        <v>0</v>
      </c>
      <c r="DM152" s="166">
        <f t="shared" si="670"/>
        <v>0</v>
      </c>
      <c r="DN152" s="166">
        <f t="shared" si="670"/>
        <v>0</v>
      </c>
      <c r="DO152" s="166">
        <f t="shared" si="670"/>
        <v>0</v>
      </c>
      <c r="DP152" s="166">
        <f t="shared" si="670"/>
        <v>0</v>
      </c>
      <c r="DQ152" s="166">
        <f t="shared" si="670"/>
        <v>0</v>
      </c>
      <c r="DR152" s="166">
        <f>SUM(DR153:DR159)</f>
        <v>2292</v>
      </c>
      <c r="DS152" s="166">
        <f t="shared" ref="DS152" si="671">SUM(DS153:DS159)</f>
        <v>518670173.25375921</v>
      </c>
      <c r="DT152" s="166">
        <v>2292</v>
      </c>
      <c r="DU152" s="166">
        <v>508964915.86538392</v>
      </c>
      <c r="DV152" s="167">
        <f t="shared" si="626"/>
        <v>0</v>
      </c>
      <c r="DW152" s="167">
        <f t="shared" si="626"/>
        <v>9705257.3883752823</v>
      </c>
    </row>
    <row r="153" spans="1:127" ht="30" customHeight="1" x14ac:dyDescent="0.25">
      <c r="A153" s="154"/>
      <c r="B153" s="176">
        <v>121</v>
      </c>
      <c r="C153" s="177" t="s">
        <v>393</v>
      </c>
      <c r="D153" s="210" t="s">
        <v>394</v>
      </c>
      <c r="E153" s="158">
        <v>25969</v>
      </c>
      <c r="F153" s="179">
        <v>4.21</v>
      </c>
      <c r="G153" s="243">
        <v>1.4</v>
      </c>
      <c r="H153" s="243"/>
      <c r="I153" s="243"/>
      <c r="J153" s="243"/>
      <c r="K153" s="106"/>
      <c r="L153" s="180">
        <v>1.4</v>
      </c>
      <c r="M153" s="180">
        <v>1.68</v>
      </c>
      <c r="N153" s="180">
        <v>2.23</v>
      </c>
      <c r="O153" s="181">
        <v>2.57</v>
      </c>
      <c r="P153" s="182"/>
      <c r="Q153" s="182">
        <f t="shared" ref="Q153:Q159" si="672">(P153*$E153*$F153*$G153*$L153*$Q$12)</f>
        <v>0</v>
      </c>
      <c r="R153" s="182"/>
      <c r="S153" s="182">
        <f t="shared" ref="S153:S159" si="673">(R153*$E153*$F153*$G153*$L153*$S$12)</f>
        <v>0</v>
      </c>
      <c r="T153" s="182"/>
      <c r="U153" s="182">
        <f t="shared" ref="U153:U159" si="674">(T153/12*11*$E153*$F153*$G153*$L153*$U$12)+(T153/12*1*$E153*$F153*$G153*$L153*$U$14)</f>
        <v>0</v>
      </c>
      <c r="V153" s="182">
        <v>500</v>
      </c>
      <c r="W153" s="183">
        <f>(V153*$E153*$F153*$G153*$L153*$W$12)/12*10+(V153*$E153*$F153*$G153*$L153*$W$13)/12*1+(V153*$E153*$F153*$G153*$L153*$W$14*$W$15)/12*1</f>
        <v>136259769.04395145</v>
      </c>
      <c r="X153" s="183"/>
      <c r="Y153" s="183">
        <v>0</v>
      </c>
      <c r="Z153" s="183"/>
      <c r="AA153" s="183">
        <v>0</v>
      </c>
      <c r="AB153" s="182">
        <f t="shared" ref="AB153:AC159" si="675">X153+Z153</f>
        <v>0</v>
      </c>
      <c r="AC153" s="182">
        <f t="shared" si="675"/>
        <v>0</v>
      </c>
      <c r="AD153" s="182"/>
      <c r="AE153" s="182">
        <f t="shared" ref="AE153:AE159" si="676">(AD153*$E153*$F153*$G153*$L153*$AE$12)</f>
        <v>0</v>
      </c>
      <c r="AF153" s="182"/>
      <c r="AG153" s="182"/>
      <c r="AH153" s="182"/>
      <c r="AI153" s="182">
        <f t="shared" ref="AI153:AI159" si="677">(AH153*$E153*$F153*$G153*$L153*$AI$12)</f>
        <v>0</v>
      </c>
      <c r="AJ153" s="182"/>
      <c r="AK153" s="182"/>
      <c r="AL153" s="182"/>
      <c r="AM153" s="182"/>
      <c r="AN153" s="184"/>
      <c r="AO153" s="182">
        <f t="shared" ref="AO153:AO159" si="678">(AN153*$E153*$F153*$G153*$L153*$AO$12)</f>
        <v>0</v>
      </c>
      <c r="AP153" s="182"/>
      <c r="AQ153" s="183">
        <f t="shared" ref="AQ153:AQ159" si="679">(AP153*$E153*$F153*$G153*$L153*$AQ$12)</f>
        <v>0</v>
      </c>
      <c r="AR153" s="182"/>
      <c r="AS153" s="182">
        <f t="shared" ref="AS153:AS159" si="680">(AR153*$E153*$F153*$G153*$L153*$AS$12)/12*10+(AR153*$E153*$F153*$G153*$L153*$AS$13)/12*1+(AR153*$E153*$F153*$G153*$L153*$AS$14)/12*1</f>
        <v>0</v>
      </c>
      <c r="AT153" s="182">
        <v>211</v>
      </c>
      <c r="AU153" s="182">
        <f t="shared" ref="AU153:AU159" si="681">(AT153*$E153*$F153*$G153*$M153*$AU$12)/12*10+(AT153*$E153*$F153*$G153*$M153*$AU$13)/12+(AT153*$E153*$F153*$G153*$M153*$AU$14*$AU$15)/12</f>
        <v>62525929.427076735</v>
      </c>
      <c r="AV153" s="188"/>
      <c r="AW153" s="182">
        <f t="shared" ref="AW153:AW159" si="682">(AV153*$E153*$F153*$G153*$M153*$AW$12)</f>
        <v>0</v>
      </c>
      <c r="AX153" s="182"/>
      <c r="AY153" s="187">
        <f t="shared" ref="AY153:AY159" si="683">(AX153*$E153*$F153*$G153*$M153*$AY$12)</f>
        <v>0</v>
      </c>
      <c r="AZ153" s="182"/>
      <c r="BA153" s="182">
        <f t="shared" ref="BA153:BA159" si="684">(AZ153*$E153*$F153*$G153*$L153*$BA$12)</f>
        <v>0</v>
      </c>
      <c r="BB153" s="182">
        <v>0</v>
      </c>
      <c r="BC153" s="182">
        <f t="shared" ref="BC153:BC159" si="685">(BB153*$E153*$F153*$G153*$L153*$BC$12)</f>
        <v>0</v>
      </c>
      <c r="BD153" s="182"/>
      <c r="BE153" s="182">
        <f t="shared" ref="BE153:BE159" si="686">(BD153*$E153*$F153*$G153*$L153*$BE$12)</f>
        <v>0</v>
      </c>
      <c r="BF153" s="182"/>
      <c r="BG153" s="182">
        <f t="shared" ref="BG153:BG159" si="687">(BF153*$E153*$F153*$G153*$L153*$BG$12)</f>
        <v>0</v>
      </c>
      <c r="BH153" s="182"/>
      <c r="BI153" s="183">
        <f t="shared" ref="BI153:BI159" si="688">(BH153*$E153*$F153*$G153*$L153*$BI$12)</f>
        <v>0</v>
      </c>
      <c r="BJ153" s="182"/>
      <c r="BK153" s="183">
        <f t="shared" ref="BK153:BK159" si="689">(BJ153*$E153*$F153*$G153*$L153*$BK$12)</f>
        <v>0</v>
      </c>
      <c r="BL153" s="182"/>
      <c r="BM153" s="182">
        <f t="shared" ref="BM153:BM159" si="690">(BL153*$E153*$F153*$G153*$L153*$BM$12)</f>
        <v>0</v>
      </c>
      <c r="BN153" s="182"/>
      <c r="BO153" s="182">
        <f t="shared" ref="BO153:BO159" si="691">(BN153*$E153*$F153*$G153*$M153*$BO$12)</f>
        <v>0</v>
      </c>
      <c r="BP153" s="182">
        <v>121</v>
      </c>
      <c r="BQ153" s="182">
        <f t="shared" ref="BQ153:BQ154" si="692">(BP153/12*11*$E153*$F153*$G153*$M153*$BQ$12)+(BP153/12*$E153*$F153*$G153*$M153*$BQ$14*$BQ$15)</f>
        <v>33462468.376016647</v>
      </c>
      <c r="BR153" s="182"/>
      <c r="BS153" s="183">
        <f t="shared" ref="BS153:BS159" si="693">(BR153*$E153*$F153*$G153*$M153*$BS$12)</f>
        <v>0</v>
      </c>
      <c r="BT153" s="182">
        <v>2</v>
      </c>
      <c r="BU153" s="182">
        <f t="shared" ref="BU153:BU158" si="694">(BT153*$E153*$F153*$G153*$M153*$BU$12)/12*10+(BT153*$E153*$F153*$G153*$M153*$BU$13)/12+(BT153*$E153*$F153*$G153*$M153*$BU$13*$BU$15)/12</f>
        <v>572915.20166400122</v>
      </c>
      <c r="BV153" s="182"/>
      <c r="BW153" s="182">
        <f t="shared" ref="BW153:BW159" si="695">(BV153*$E153*$F153*$G153*$M153*$BW$12)</f>
        <v>0</v>
      </c>
      <c r="BX153" s="182">
        <v>2</v>
      </c>
      <c r="BY153" s="183">
        <f t="shared" ref="BY153:BY159" si="696">(BX153*$E153*$F153*$G153*$M153*$BY$12)/12*11+(BX153*$E153*$F153*$G153*$M153*$BY$12*$BY$15)/12</f>
        <v>693607.13588033279</v>
      </c>
      <c r="BZ153" s="182"/>
      <c r="CA153" s="187">
        <f t="shared" ref="CA153:CA159" si="697">(BZ153*$E153*$F153*$G153*$M153*$CA$12)</f>
        <v>0</v>
      </c>
      <c r="CB153" s="182"/>
      <c r="CC153" s="182">
        <f t="shared" ref="CC153:CC159" si="698">(CB153*$E153*$F153*$G153*$L153*$CC$12)</f>
        <v>0</v>
      </c>
      <c r="CD153" s="182"/>
      <c r="CE153" s="182">
        <f t="shared" ref="CE153:CE159" si="699">(CD153*$E153*$F153*$G153*$L153*$CE$12)</f>
        <v>0</v>
      </c>
      <c r="CF153" s="182"/>
      <c r="CG153" s="182">
        <f t="shared" ref="CG153:CG159" si="700">(CF153*$E153*$F153*$G153*$L153*$CG$12)</f>
        <v>0</v>
      </c>
      <c r="CH153" s="182"/>
      <c r="CI153" s="182">
        <f t="shared" ref="CI153:CI159" si="701">(CH153*$E153*$F153*$G153*$M153*$CI$12)</f>
        <v>0</v>
      </c>
      <c r="CJ153" s="182"/>
      <c r="CK153" s="182"/>
      <c r="CL153" s="182"/>
      <c r="CM153" s="183">
        <f t="shared" ref="CM153:CM159" si="702">(CL153*$E153*$F153*$G153*$L153*$CM$12)</f>
        <v>0</v>
      </c>
      <c r="CN153" s="182"/>
      <c r="CO153" s="183">
        <f t="shared" ref="CO153:CO159" si="703">(CN153*$E153*$F153*$G153*$L153*$CO$12)</f>
        <v>0</v>
      </c>
      <c r="CP153" s="182"/>
      <c r="CQ153" s="182">
        <f t="shared" ref="CQ153:CQ159" si="704">(CP153*$E153*$F153*$G153*$L153*$CQ$12)</f>
        <v>0</v>
      </c>
      <c r="CR153" s="182"/>
      <c r="CS153" s="182">
        <f t="shared" ref="CS153:CS159" si="705">(CR153*$E153*$F153*$G153*$L153*$CS$12)</f>
        <v>0</v>
      </c>
      <c r="CT153" s="182"/>
      <c r="CU153" s="182">
        <f t="shared" ref="CU153:CU159" si="706">(CT153*$E153*$F153*$G153*$L153*$CU$12)</f>
        <v>0</v>
      </c>
      <c r="CV153" s="182"/>
      <c r="CW153" s="182">
        <v>0</v>
      </c>
      <c r="CX153" s="182">
        <v>3</v>
      </c>
      <c r="CY153" s="182">
        <f t="shared" ref="CY153:CY159" si="707">(CX153/12*11*$E153*$F153*$G153*$M153*$CY$12)+(CX153/12*$E153*$F153*$G153*$M153*$CY$15*$CY$12)</f>
        <v>832518.33456123341</v>
      </c>
      <c r="CZ153" s="182"/>
      <c r="DA153" s="182">
        <v>0</v>
      </c>
      <c r="DB153" s="188"/>
      <c r="DC153" s="182">
        <f t="shared" ref="DC153:DC159" si="708">(DB153*$E153*$F153*$G153*$M153*$DC$12)</f>
        <v>0</v>
      </c>
      <c r="DD153" s="182"/>
      <c r="DE153" s="187">
        <f t="shared" ref="DE153:DE159" si="709">(DD153*$E153*$F153*$G153*$M153*DE$12)</f>
        <v>0</v>
      </c>
      <c r="DF153" s="182"/>
      <c r="DG153" s="182">
        <f t="shared" ref="DG153:DG159" si="710">(DF153*$E153*$F153*$G153*$M153*$DG$12)</f>
        <v>0</v>
      </c>
      <c r="DH153" s="189"/>
      <c r="DI153" s="182">
        <f t="shared" ref="DI153:DI159" si="711">(DH153*$E153*$F153*$G153*$M153*$DI$12)</f>
        <v>0</v>
      </c>
      <c r="DJ153" s="182"/>
      <c r="DK153" s="182">
        <f t="shared" ref="DK153:DK159" si="712">(DJ153*$E153*$F153*$G153*$M153*$DK$12)</f>
        <v>0</v>
      </c>
      <c r="DL153" s="182"/>
      <c r="DM153" s="182">
        <f t="shared" ref="DM153:DM159" si="713">(DL153*$E153*$F153*$G153*$N153*$DM$12)</f>
        <v>0</v>
      </c>
      <c r="DN153" s="182"/>
      <c r="DO153" s="190">
        <f t="shared" ref="DO153:DO159" si="714">(DN153*$E153*$F153*$G153*$O153*$DO$12)</f>
        <v>0</v>
      </c>
      <c r="DP153" s="187"/>
      <c r="DQ153" s="187"/>
      <c r="DR153" s="183">
        <f t="shared" ref="DR153:DS159" si="715">SUM(P153,R153,T153,V153,AB153,AJ153,AD153,AF153,AH153,AL153,AN153,AP153,AV153,AZ153,BB153,CF153,AR153,BF153,BH153,BJ153,CT153,BL153,BN153,AT153,BR153,AX153,CV153,BT153,CX153,BV153,BX153,BZ153,CH153,CB153,CD153,CJ153,CL153,CN153,CP153,CR153,CZ153,DB153,BP153,BD153,DD153,DF153,DH153,DJ153,DL153,DN153,DP153)</f>
        <v>839</v>
      </c>
      <c r="DS153" s="183">
        <f t="shared" si="715"/>
        <v>234347207.51915038</v>
      </c>
      <c r="DT153" s="182">
        <v>839</v>
      </c>
      <c r="DU153" s="182">
        <v>229787949.48693731</v>
      </c>
      <c r="DV153" s="167">
        <f t="shared" si="626"/>
        <v>0</v>
      </c>
      <c r="DW153" s="167">
        <f t="shared" si="626"/>
        <v>4559258.032213062</v>
      </c>
    </row>
    <row r="154" spans="1:127" ht="30" customHeight="1" x14ac:dyDescent="0.25">
      <c r="A154" s="154"/>
      <c r="B154" s="176">
        <v>122</v>
      </c>
      <c r="C154" s="177" t="s">
        <v>395</v>
      </c>
      <c r="D154" s="248" t="s">
        <v>396</v>
      </c>
      <c r="E154" s="158">
        <v>25969</v>
      </c>
      <c r="F154" s="249">
        <v>15.63</v>
      </c>
      <c r="G154" s="243">
        <v>1.4</v>
      </c>
      <c r="H154" s="243"/>
      <c r="I154" s="243"/>
      <c r="J154" s="243"/>
      <c r="K154" s="106"/>
      <c r="L154" s="180">
        <v>1.4</v>
      </c>
      <c r="M154" s="180">
        <v>1.68</v>
      </c>
      <c r="N154" s="180">
        <v>2.23</v>
      </c>
      <c r="O154" s="181">
        <v>2.57</v>
      </c>
      <c r="P154" s="182"/>
      <c r="Q154" s="182">
        <f t="shared" si="672"/>
        <v>0</v>
      </c>
      <c r="R154" s="182"/>
      <c r="S154" s="182">
        <f t="shared" si="673"/>
        <v>0</v>
      </c>
      <c r="T154" s="182"/>
      <c r="U154" s="182">
        <f t="shared" si="674"/>
        <v>0</v>
      </c>
      <c r="V154" s="182">
        <v>25</v>
      </c>
      <c r="W154" s="183">
        <f t="shared" ref="W154:W158" si="716">(V154*$E154*$F154*$G154*$L154*$W$12)/12*10+(V154*$E154*$F154*$G154*$L154*$W$13)/12*1+(V154*$E154*$F154*$G154*$L154*$W$14*$W$15)/12*1</f>
        <v>25293826.486424718</v>
      </c>
      <c r="X154" s="183"/>
      <c r="Y154" s="183">
        <v>0</v>
      </c>
      <c r="Z154" s="183"/>
      <c r="AA154" s="183">
        <v>0</v>
      </c>
      <c r="AB154" s="182">
        <f t="shared" si="675"/>
        <v>0</v>
      </c>
      <c r="AC154" s="182">
        <f t="shared" si="675"/>
        <v>0</v>
      </c>
      <c r="AD154" s="182"/>
      <c r="AE154" s="182">
        <f t="shared" si="676"/>
        <v>0</v>
      </c>
      <c r="AF154" s="182"/>
      <c r="AG154" s="182"/>
      <c r="AH154" s="182"/>
      <c r="AI154" s="182">
        <f t="shared" si="677"/>
        <v>0</v>
      </c>
      <c r="AJ154" s="182"/>
      <c r="AK154" s="182"/>
      <c r="AL154" s="182"/>
      <c r="AM154" s="182"/>
      <c r="AN154" s="184"/>
      <c r="AO154" s="182">
        <f t="shared" si="678"/>
        <v>0</v>
      </c>
      <c r="AP154" s="182"/>
      <c r="AQ154" s="183">
        <f t="shared" si="679"/>
        <v>0</v>
      </c>
      <c r="AR154" s="182"/>
      <c r="AS154" s="182">
        <f t="shared" si="680"/>
        <v>0</v>
      </c>
      <c r="AT154" s="182">
        <v>4</v>
      </c>
      <c r="AU154" s="182">
        <f t="shared" si="681"/>
        <v>4400627.1546879336</v>
      </c>
      <c r="AV154" s="188"/>
      <c r="AW154" s="182">
        <f t="shared" si="682"/>
        <v>0</v>
      </c>
      <c r="AX154" s="182"/>
      <c r="AY154" s="187">
        <f t="shared" si="683"/>
        <v>0</v>
      </c>
      <c r="AZ154" s="182"/>
      <c r="BA154" s="182">
        <f t="shared" si="684"/>
        <v>0</v>
      </c>
      <c r="BB154" s="182">
        <v>0</v>
      </c>
      <c r="BC154" s="182">
        <f t="shared" si="685"/>
        <v>0</v>
      </c>
      <c r="BD154" s="182"/>
      <c r="BE154" s="182">
        <f t="shared" si="686"/>
        <v>0</v>
      </c>
      <c r="BF154" s="182"/>
      <c r="BG154" s="182">
        <f t="shared" si="687"/>
        <v>0</v>
      </c>
      <c r="BH154" s="182"/>
      <c r="BI154" s="183">
        <f t="shared" si="688"/>
        <v>0</v>
      </c>
      <c r="BJ154" s="182"/>
      <c r="BK154" s="183">
        <f t="shared" si="689"/>
        <v>0</v>
      </c>
      <c r="BL154" s="182"/>
      <c r="BM154" s="182">
        <f t="shared" si="690"/>
        <v>0</v>
      </c>
      <c r="BN154" s="182"/>
      <c r="BO154" s="182">
        <f t="shared" si="691"/>
        <v>0</v>
      </c>
      <c r="BP154" s="182">
        <v>5</v>
      </c>
      <c r="BQ154" s="182">
        <f t="shared" si="692"/>
        <v>5133570.019406178</v>
      </c>
      <c r="BR154" s="182"/>
      <c r="BS154" s="183">
        <f t="shared" si="693"/>
        <v>0</v>
      </c>
      <c r="BT154" s="182"/>
      <c r="BU154" s="182">
        <f t="shared" si="694"/>
        <v>0</v>
      </c>
      <c r="BV154" s="182"/>
      <c r="BW154" s="182">
        <f t="shared" si="695"/>
        <v>0</v>
      </c>
      <c r="BX154" s="182"/>
      <c r="BY154" s="183">
        <f t="shared" si="696"/>
        <v>0</v>
      </c>
      <c r="BZ154" s="182"/>
      <c r="CA154" s="187">
        <f t="shared" si="697"/>
        <v>0</v>
      </c>
      <c r="CB154" s="182"/>
      <c r="CC154" s="182">
        <f t="shared" si="698"/>
        <v>0</v>
      </c>
      <c r="CD154" s="182"/>
      <c r="CE154" s="182">
        <f t="shared" si="699"/>
        <v>0</v>
      </c>
      <c r="CF154" s="182"/>
      <c r="CG154" s="182">
        <f t="shared" si="700"/>
        <v>0</v>
      </c>
      <c r="CH154" s="182"/>
      <c r="CI154" s="182">
        <f t="shared" si="701"/>
        <v>0</v>
      </c>
      <c r="CJ154" s="182"/>
      <c r="CK154" s="182"/>
      <c r="CL154" s="182"/>
      <c r="CM154" s="183">
        <f t="shared" si="702"/>
        <v>0</v>
      </c>
      <c r="CN154" s="182"/>
      <c r="CO154" s="183">
        <f t="shared" si="703"/>
        <v>0</v>
      </c>
      <c r="CP154" s="182"/>
      <c r="CQ154" s="182">
        <f t="shared" si="704"/>
        <v>0</v>
      </c>
      <c r="CR154" s="182"/>
      <c r="CS154" s="182">
        <f t="shared" si="705"/>
        <v>0</v>
      </c>
      <c r="CT154" s="182"/>
      <c r="CU154" s="182">
        <f t="shared" si="706"/>
        <v>0</v>
      </c>
      <c r="CV154" s="182"/>
      <c r="CW154" s="182">
        <v>0</v>
      </c>
      <c r="CX154" s="182"/>
      <c r="CY154" s="182">
        <f t="shared" si="707"/>
        <v>0</v>
      </c>
      <c r="CZ154" s="182"/>
      <c r="DA154" s="182">
        <v>0</v>
      </c>
      <c r="DB154" s="188"/>
      <c r="DC154" s="182">
        <f t="shared" si="708"/>
        <v>0</v>
      </c>
      <c r="DD154" s="182"/>
      <c r="DE154" s="187">
        <f t="shared" si="709"/>
        <v>0</v>
      </c>
      <c r="DF154" s="182"/>
      <c r="DG154" s="182">
        <f t="shared" si="710"/>
        <v>0</v>
      </c>
      <c r="DH154" s="189"/>
      <c r="DI154" s="182">
        <f t="shared" si="711"/>
        <v>0</v>
      </c>
      <c r="DJ154" s="182"/>
      <c r="DK154" s="182">
        <f t="shared" si="712"/>
        <v>0</v>
      </c>
      <c r="DL154" s="182"/>
      <c r="DM154" s="182">
        <f t="shared" si="713"/>
        <v>0</v>
      </c>
      <c r="DN154" s="182"/>
      <c r="DO154" s="190">
        <f t="shared" si="714"/>
        <v>0</v>
      </c>
      <c r="DP154" s="187"/>
      <c r="DQ154" s="187"/>
      <c r="DR154" s="183">
        <f t="shared" si="715"/>
        <v>34</v>
      </c>
      <c r="DS154" s="183">
        <f t="shared" si="715"/>
        <v>34828023.660518833</v>
      </c>
      <c r="DT154" s="182">
        <v>34</v>
      </c>
      <c r="DU154" s="182">
        <v>34261907.219679996</v>
      </c>
      <c r="DV154" s="167">
        <f t="shared" si="626"/>
        <v>0</v>
      </c>
      <c r="DW154" s="167">
        <f t="shared" si="626"/>
        <v>566116.44083883613</v>
      </c>
    </row>
    <row r="155" spans="1:127" ht="45" customHeight="1" x14ac:dyDescent="0.25">
      <c r="A155" s="154"/>
      <c r="B155" s="176">
        <v>123</v>
      </c>
      <c r="C155" s="177" t="s">
        <v>397</v>
      </c>
      <c r="D155" s="248" t="s">
        <v>398</v>
      </c>
      <c r="E155" s="158">
        <v>25969</v>
      </c>
      <c r="F155" s="250">
        <v>7.4</v>
      </c>
      <c r="G155" s="243">
        <v>1.4</v>
      </c>
      <c r="H155" s="243"/>
      <c r="I155" s="243"/>
      <c r="J155" s="243"/>
      <c r="K155" s="106"/>
      <c r="L155" s="180">
        <v>1.4</v>
      </c>
      <c r="M155" s="180">
        <v>1.68</v>
      </c>
      <c r="N155" s="180">
        <v>2.23</v>
      </c>
      <c r="O155" s="181">
        <v>2.57</v>
      </c>
      <c r="P155" s="182"/>
      <c r="Q155" s="182">
        <f t="shared" si="672"/>
        <v>0</v>
      </c>
      <c r="R155" s="182"/>
      <c r="S155" s="182">
        <f t="shared" si="673"/>
        <v>0</v>
      </c>
      <c r="T155" s="182"/>
      <c r="U155" s="182">
        <f t="shared" si="674"/>
        <v>0</v>
      </c>
      <c r="V155" s="182">
        <v>235</v>
      </c>
      <c r="W155" s="183">
        <f t="shared" si="716"/>
        <v>112568046.73037133</v>
      </c>
      <c r="X155" s="183"/>
      <c r="Y155" s="183">
        <v>0</v>
      </c>
      <c r="Z155" s="183"/>
      <c r="AA155" s="183">
        <v>0</v>
      </c>
      <c r="AB155" s="182">
        <f t="shared" si="675"/>
        <v>0</v>
      </c>
      <c r="AC155" s="182">
        <f t="shared" si="675"/>
        <v>0</v>
      </c>
      <c r="AD155" s="182"/>
      <c r="AE155" s="182">
        <f t="shared" si="676"/>
        <v>0</v>
      </c>
      <c r="AF155" s="182"/>
      <c r="AG155" s="182"/>
      <c r="AH155" s="182"/>
      <c r="AI155" s="182">
        <f t="shared" si="677"/>
        <v>0</v>
      </c>
      <c r="AJ155" s="182"/>
      <c r="AK155" s="182"/>
      <c r="AL155" s="182"/>
      <c r="AM155" s="182"/>
      <c r="AN155" s="184"/>
      <c r="AO155" s="182">
        <f t="shared" si="678"/>
        <v>0</v>
      </c>
      <c r="AP155" s="182"/>
      <c r="AQ155" s="183">
        <f t="shared" si="679"/>
        <v>0</v>
      </c>
      <c r="AR155" s="182"/>
      <c r="AS155" s="182">
        <f t="shared" si="680"/>
        <v>0</v>
      </c>
      <c r="AT155" s="182">
        <v>14</v>
      </c>
      <c r="AU155" s="182">
        <f t="shared" si="681"/>
        <v>7292146.0848635612</v>
      </c>
      <c r="AV155" s="188"/>
      <c r="AW155" s="182">
        <f t="shared" si="682"/>
        <v>0</v>
      </c>
      <c r="AX155" s="182"/>
      <c r="AY155" s="187">
        <f t="shared" si="683"/>
        <v>0</v>
      </c>
      <c r="AZ155" s="182"/>
      <c r="BA155" s="182">
        <f t="shared" si="684"/>
        <v>0</v>
      </c>
      <c r="BB155" s="182">
        <v>0</v>
      </c>
      <c r="BC155" s="182">
        <f t="shared" si="685"/>
        <v>0</v>
      </c>
      <c r="BD155" s="182"/>
      <c r="BE155" s="182">
        <f t="shared" si="686"/>
        <v>0</v>
      </c>
      <c r="BF155" s="182"/>
      <c r="BG155" s="182">
        <f t="shared" si="687"/>
        <v>0</v>
      </c>
      <c r="BH155" s="182"/>
      <c r="BI155" s="183">
        <f t="shared" si="688"/>
        <v>0</v>
      </c>
      <c r="BJ155" s="182"/>
      <c r="BK155" s="183">
        <f t="shared" si="689"/>
        <v>0</v>
      </c>
      <c r="BL155" s="182"/>
      <c r="BM155" s="182">
        <f t="shared" si="690"/>
        <v>0</v>
      </c>
      <c r="BN155" s="182"/>
      <c r="BO155" s="182">
        <f t="shared" si="691"/>
        <v>0</v>
      </c>
      <c r="BP155" s="182"/>
      <c r="BQ155" s="182">
        <f t="shared" ref="BQ155" si="717">(BP155*$E155*$F155*$G155*$M155*$BQ$12)</f>
        <v>0</v>
      </c>
      <c r="BR155" s="182"/>
      <c r="BS155" s="183">
        <f t="shared" si="693"/>
        <v>0</v>
      </c>
      <c r="BT155" s="182"/>
      <c r="BU155" s="182">
        <f t="shared" si="694"/>
        <v>0</v>
      </c>
      <c r="BV155" s="182"/>
      <c r="BW155" s="182">
        <f t="shared" si="695"/>
        <v>0</v>
      </c>
      <c r="BX155" s="182"/>
      <c r="BY155" s="183">
        <f t="shared" si="696"/>
        <v>0</v>
      </c>
      <c r="BZ155" s="182"/>
      <c r="CA155" s="187">
        <f t="shared" si="697"/>
        <v>0</v>
      </c>
      <c r="CB155" s="182"/>
      <c r="CC155" s="182">
        <f t="shared" si="698"/>
        <v>0</v>
      </c>
      <c r="CD155" s="182"/>
      <c r="CE155" s="182">
        <f t="shared" si="699"/>
        <v>0</v>
      </c>
      <c r="CF155" s="182"/>
      <c r="CG155" s="182">
        <f t="shared" si="700"/>
        <v>0</v>
      </c>
      <c r="CH155" s="182"/>
      <c r="CI155" s="182">
        <f t="shared" si="701"/>
        <v>0</v>
      </c>
      <c r="CJ155" s="182"/>
      <c r="CK155" s="182"/>
      <c r="CL155" s="182"/>
      <c r="CM155" s="183">
        <f t="shared" si="702"/>
        <v>0</v>
      </c>
      <c r="CN155" s="182"/>
      <c r="CO155" s="183">
        <f t="shared" si="703"/>
        <v>0</v>
      </c>
      <c r="CP155" s="182"/>
      <c r="CQ155" s="182">
        <f t="shared" si="704"/>
        <v>0</v>
      </c>
      <c r="CR155" s="182"/>
      <c r="CS155" s="182">
        <f t="shared" si="705"/>
        <v>0</v>
      </c>
      <c r="CT155" s="182"/>
      <c r="CU155" s="182">
        <f t="shared" si="706"/>
        <v>0</v>
      </c>
      <c r="CV155" s="182"/>
      <c r="CW155" s="182">
        <v>0</v>
      </c>
      <c r="CX155" s="182"/>
      <c r="CY155" s="182">
        <f t="shared" si="707"/>
        <v>0</v>
      </c>
      <c r="CZ155" s="182"/>
      <c r="DA155" s="182">
        <v>0</v>
      </c>
      <c r="DB155" s="188"/>
      <c r="DC155" s="182">
        <f t="shared" si="708"/>
        <v>0</v>
      </c>
      <c r="DD155" s="182"/>
      <c r="DE155" s="187">
        <f t="shared" si="709"/>
        <v>0</v>
      </c>
      <c r="DF155" s="182"/>
      <c r="DG155" s="182">
        <f t="shared" si="710"/>
        <v>0</v>
      </c>
      <c r="DH155" s="189"/>
      <c r="DI155" s="182">
        <f t="shared" si="711"/>
        <v>0</v>
      </c>
      <c r="DJ155" s="182"/>
      <c r="DK155" s="182">
        <f t="shared" si="712"/>
        <v>0</v>
      </c>
      <c r="DL155" s="182"/>
      <c r="DM155" s="182">
        <f t="shared" si="713"/>
        <v>0</v>
      </c>
      <c r="DN155" s="182"/>
      <c r="DO155" s="190">
        <f t="shared" si="714"/>
        <v>0</v>
      </c>
      <c r="DP155" s="187"/>
      <c r="DQ155" s="187"/>
      <c r="DR155" s="183">
        <f t="shared" si="715"/>
        <v>249</v>
      </c>
      <c r="DS155" s="183">
        <f t="shared" si="715"/>
        <v>119860192.81523488</v>
      </c>
      <c r="DT155" s="182">
        <v>249</v>
      </c>
      <c r="DU155" s="182">
        <v>119236220.29573333</v>
      </c>
      <c r="DV155" s="167">
        <f t="shared" si="626"/>
        <v>0</v>
      </c>
      <c r="DW155" s="167">
        <f t="shared" si="626"/>
        <v>623972.51950155199</v>
      </c>
    </row>
    <row r="156" spans="1:127" ht="30" customHeight="1" x14ac:dyDescent="0.25">
      <c r="A156" s="154"/>
      <c r="B156" s="176">
        <v>124</v>
      </c>
      <c r="C156" s="177" t="s">
        <v>399</v>
      </c>
      <c r="D156" s="210" t="s">
        <v>400</v>
      </c>
      <c r="E156" s="158">
        <v>25969</v>
      </c>
      <c r="F156" s="179">
        <v>1.92</v>
      </c>
      <c r="G156" s="243">
        <v>1.4</v>
      </c>
      <c r="H156" s="242"/>
      <c r="I156" s="242"/>
      <c r="J156" s="242"/>
      <c r="K156" s="106"/>
      <c r="L156" s="180">
        <v>1.4</v>
      </c>
      <c r="M156" s="180">
        <v>1.68</v>
      </c>
      <c r="N156" s="180">
        <v>2.23</v>
      </c>
      <c r="O156" s="181">
        <v>2.57</v>
      </c>
      <c r="P156" s="182"/>
      <c r="Q156" s="182">
        <f t="shared" si="672"/>
        <v>0</v>
      </c>
      <c r="R156" s="182"/>
      <c r="S156" s="182">
        <f t="shared" si="673"/>
        <v>0</v>
      </c>
      <c r="T156" s="182"/>
      <c r="U156" s="182">
        <f t="shared" si="674"/>
        <v>0</v>
      </c>
      <c r="V156" s="182">
        <v>247</v>
      </c>
      <c r="W156" s="183">
        <f t="shared" si="716"/>
        <v>30698257.8961537</v>
      </c>
      <c r="X156" s="183"/>
      <c r="Y156" s="183">
        <v>0</v>
      </c>
      <c r="Z156" s="183"/>
      <c r="AA156" s="183">
        <v>0</v>
      </c>
      <c r="AB156" s="182">
        <f t="shared" si="675"/>
        <v>0</v>
      </c>
      <c r="AC156" s="182">
        <f t="shared" si="675"/>
        <v>0</v>
      </c>
      <c r="AD156" s="182"/>
      <c r="AE156" s="182">
        <f t="shared" si="676"/>
        <v>0</v>
      </c>
      <c r="AF156" s="182"/>
      <c r="AG156" s="182"/>
      <c r="AH156" s="182"/>
      <c r="AI156" s="182">
        <f t="shared" si="677"/>
        <v>0</v>
      </c>
      <c r="AJ156" s="182"/>
      <c r="AK156" s="182"/>
      <c r="AL156" s="182"/>
      <c r="AM156" s="182"/>
      <c r="AN156" s="184"/>
      <c r="AO156" s="182">
        <f t="shared" si="678"/>
        <v>0</v>
      </c>
      <c r="AP156" s="182"/>
      <c r="AQ156" s="183">
        <f t="shared" si="679"/>
        <v>0</v>
      </c>
      <c r="AR156" s="182"/>
      <c r="AS156" s="182">
        <f t="shared" si="680"/>
        <v>0</v>
      </c>
      <c r="AT156" s="182">
        <v>15</v>
      </c>
      <c r="AU156" s="182">
        <f t="shared" si="681"/>
        <v>2027160.3015836927</v>
      </c>
      <c r="AV156" s="188"/>
      <c r="AW156" s="182">
        <f t="shared" si="682"/>
        <v>0</v>
      </c>
      <c r="AX156" s="182"/>
      <c r="AY156" s="187">
        <f t="shared" si="683"/>
        <v>0</v>
      </c>
      <c r="AZ156" s="182"/>
      <c r="BA156" s="182">
        <f t="shared" si="684"/>
        <v>0</v>
      </c>
      <c r="BB156" s="182">
        <v>0</v>
      </c>
      <c r="BC156" s="182">
        <f t="shared" si="685"/>
        <v>0</v>
      </c>
      <c r="BD156" s="182"/>
      <c r="BE156" s="182">
        <f t="shared" si="686"/>
        <v>0</v>
      </c>
      <c r="BF156" s="182"/>
      <c r="BG156" s="182">
        <f t="shared" si="687"/>
        <v>0</v>
      </c>
      <c r="BH156" s="182"/>
      <c r="BI156" s="183">
        <f t="shared" si="688"/>
        <v>0</v>
      </c>
      <c r="BJ156" s="182"/>
      <c r="BK156" s="183">
        <f t="shared" si="689"/>
        <v>0</v>
      </c>
      <c r="BL156" s="182"/>
      <c r="BM156" s="182">
        <f t="shared" si="690"/>
        <v>0</v>
      </c>
      <c r="BN156" s="182">
        <v>1</v>
      </c>
      <c r="BO156" s="182">
        <f t="shared" si="691"/>
        <v>128999.03385599999</v>
      </c>
      <c r="BP156" s="182">
        <v>120</v>
      </c>
      <c r="BQ156" s="182">
        <f t="shared" ref="BQ156:BQ159" si="718">(BP156/12*11*$E156*$F156*$G156*$M156*$BQ$12)+(BP156/12*$E156*$F156*$G156*$M156*$BQ$14*$BQ$15)</f>
        <v>15134670.920936447</v>
      </c>
      <c r="BR156" s="182"/>
      <c r="BS156" s="183">
        <f t="shared" si="693"/>
        <v>0</v>
      </c>
      <c r="BT156" s="182"/>
      <c r="BU156" s="182">
        <f t="shared" si="694"/>
        <v>0</v>
      </c>
      <c r="BV156" s="182"/>
      <c r="BW156" s="182">
        <f t="shared" si="695"/>
        <v>0</v>
      </c>
      <c r="BX156" s="182">
        <v>1</v>
      </c>
      <c r="BY156" s="183">
        <f t="shared" si="696"/>
        <v>158162.1972553728</v>
      </c>
      <c r="BZ156" s="182"/>
      <c r="CA156" s="187">
        <f t="shared" si="697"/>
        <v>0</v>
      </c>
      <c r="CB156" s="182"/>
      <c r="CC156" s="182">
        <f t="shared" si="698"/>
        <v>0</v>
      </c>
      <c r="CD156" s="182">
        <v>23</v>
      </c>
      <c r="CE156" s="182">
        <f t="shared" si="699"/>
        <v>2247710.4383999999</v>
      </c>
      <c r="CF156" s="182"/>
      <c r="CG156" s="182">
        <f t="shared" si="700"/>
        <v>0</v>
      </c>
      <c r="CH156" s="182">
        <v>7</v>
      </c>
      <c r="CI156" s="182">
        <f t="shared" ref="CI156:CI157" si="719">(CH156*$E156*$F156*$G156*$M156*$CI$12)/12*11+(CH156*$E156*$F156*$G156*$M156*$CI$12*$CI$15)/12</f>
        <v>914842.97097016312</v>
      </c>
      <c r="CJ156" s="182"/>
      <c r="CK156" s="182"/>
      <c r="CL156" s="182"/>
      <c r="CM156" s="183">
        <f t="shared" si="702"/>
        <v>0</v>
      </c>
      <c r="CN156" s="182"/>
      <c r="CO156" s="183">
        <f t="shared" si="703"/>
        <v>0</v>
      </c>
      <c r="CP156" s="182"/>
      <c r="CQ156" s="182">
        <f t="shared" si="704"/>
        <v>0</v>
      </c>
      <c r="CR156" s="182">
        <v>7</v>
      </c>
      <c r="CS156" s="182">
        <f t="shared" ref="CS156:CS157" si="720">(CR156*$E156*$F156*$G156*$L156*$CS$12)/12*10+(CR156*$E156*$F156*$G156*$L156*$CS$13)/12+(CR156*$E156*$F156*$G156*$L156*$CS$13*$CS$15)/12</f>
        <v>820128.78563929594</v>
      </c>
      <c r="CT156" s="182"/>
      <c r="CU156" s="182">
        <f t="shared" si="706"/>
        <v>0</v>
      </c>
      <c r="CV156" s="182"/>
      <c r="CW156" s="182">
        <v>0</v>
      </c>
      <c r="CX156" s="182">
        <v>3</v>
      </c>
      <c r="CY156" s="182">
        <f t="shared" si="707"/>
        <v>379675.82003742713</v>
      </c>
      <c r="CZ156" s="182"/>
      <c r="DA156" s="182">
        <v>0</v>
      </c>
      <c r="DB156" s="188"/>
      <c r="DC156" s="182">
        <f t="shared" si="708"/>
        <v>0</v>
      </c>
      <c r="DD156" s="182"/>
      <c r="DE156" s="187">
        <f t="shared" si="709"/>
        <v>0</v>
      </c>
      <c r="DF156" s="182"/>
      <c r="DG156" s="182">
        <f t="shared" si="710"/>
        <v>0</v>
      </c>
      <c r="DH156" s="189"/>
      <c r="DI156" s="182">
        <f t="shared" si="711"/>
        <v>0</v>
      </c>
      <c r="DJ156" s="182"/>
      <c r="DK156" s="182">
        <f t="shared" si="712"/>
        <v>0</v>
      </c>
      <c r="DL156" s="182"/>
      <c r="DM156" s="182">
        <f t="shared" si="713"/>
        <v>0</v>
      </c>
      <c r="DN156" s="182"/>
      <c r="DO156" s="190">
        <f t="shared" si="714"/>
        <v>0</v>
      </c>
      <c r="DP156" s="187"/>
      <c r="DQ156" s="187"/>
      <c r="DR156" s="183">
        <f t="shared" si="715"/>
        <v>424</v>
      </c>
      <c r="DS156" s="183">
        <f t="shared" si="715"/>
        <v>52509608.364832103</v>
      </c>
      <c r="DT156" s="182">
        <v>424</v>
      </c>
      <c r="DU156" s="182">
        <v>51024004.217087999</v>
      </c>
      <c r="DV156" s="167">
        <f t="shared" si="626"/>
        <v>0</v>
      </c>
      <c r="DW156" s="167">
        <f t="shared" si="626"/>
        <v>1485604.1477441043</v>
      </c>
    </row>
    <row r="157" spans="1:127" ht="30" customHeight="1" x14ac:dyDescent="0.25">
      <c r="A157" s="154"/>
      <c r="B157" s="176">
        <v>125</v>
      </c>
      <c r="C157" s="177" t="s">
        <v>401</v>
      </c>
      <c r="D157" s="210" t="s">
        <v>402</v>
      </c>
      <c r="E157" s="158">
        <v>25969</v>
      </c>
      <c r="F157" s="179">
        <v>1.39</v>
      </c>
      <c r="G157" s="243">
        <v>1.4</v>
      </c>
      <c r="H157" s="242"/>
      <c r="I157" s="242"/>
      <c r="J157" s="242"/>
      <c r="K157" s="106"/>
      <c r="L157" s="180">
        <v>1.4</v>
      </c>
      <c r="M157" s="180">
        <v>1.68</v>
      </c>
      <c r="N157" s="180">
        <v>2.23</v>
      </c>
      <c r="O157" s="181">
        <v>2.57</v>
      </c>
      <c r="P157" s="182"/>
      <c r="Q157" s="182">
        <f t="shared" si="672"/>
        <v>0</v>
      </c>
      <c r="R157" s="182"/>
      <c r="S157" s="182">
        <f t="shared" si="673"/>
        <v>0</v>
      </c>
      <c r="T157" s="182"/>
      <c r="U157" s="182">
        <f t="shared" si="674"/>
        <v>0</v>
      </c>
      <c r="V157" s="182">
        <v>255</v>
      </c>
      <c r="W157" s="183">
        <f t="shared" si="716"/>
        <v>22944073.699586023</v>
      </c>
      <c r="X157" s="183"/>
      <c r="Y157" s="183">
        <v>0</v>
      </c>
      <c r="Z157" s="183"/>
      <c r="AA157" s="183">
        <v>0</v>
      </c>
      <c r="AB157" s="182">
        <f t="shared" si="675"/>
        <v>0</v>
      </c>
      <c r="AC157" s="182">
        <f t="shared" si="675"/>
        <v>0</v>
      </c>
      <c r="AD157" s="182"/>
      <c r="AE157" s="182">
        <f t="shared" si="676"/>
        <v>0</v>
      </c>
      <c r="AF157" s="182"/>
      <c r="AG157" s="182"/>
      <c r="AH157" s="182"/>
      <c r="AI157" s="182">
        <f t="shared" si="677"/>
        <v>0</v>
      </c>
      <c r="AJ157" s="182"/>
      <c r="AK157" s="182"/>
      <c r="AL157" s="182"/>
      <c r="AM157" s="182"/>
      <c r="AN157" s="184"/>
      <c r="AO157" s="182">
        <f t="shared" si="678"/>
        <v>0</v>
      </c>
      <c r="AP157" s="182"/>
      <c r="AQ157" s="183">
        <f t="shared" si="679"/>
        <v>0</v>
      </c>
      <c r="AR157" s="182"/>
      <c r="AS157" s="182">
        <f t="shared" si="680"/>
        <v>0</v>
      </c>
      <c r="AT157" s="182">
        <v>20</v>
      </c>
      <c r="AU157" s="182">
        <f t="shared" si="681"/>
        <v>1956772.7911120367</v>
      </c>
      <c r="AV157" s="188"/>
      <c r="AW157" s="182">
        <f t="shared" si="682"/>
        <v>0</v>
      </c>
      <c r="AX157" s="182"/>
      <c r="AY157" s="187">
        <f t="shared" si="683"/>
        <v>0</v>
      </c>
      <c r="AZ157" s="182"/>
      <c r="BA157" s="182">
        <f t="shared" si="684"/>
        <v>0</v>
      </c>
      <c r="BB157" s="182">
        <v>0</v>
      </c>
      <c r="BC157" s="182">
        <f t="shared" si="685"/>
        <v>0</v>
      </c>
      <c r="BD157" s="182"/>
      <c r="BE157" s="182">
        <f t="shared" si="686"/>
        <v>0</v>
      </c>
      <c r="BF157" s="182"/>
      <c r="BG157" s="182">
        <f t="shared" si="687"/>
        <v>0</v>
      </c>
      <c r="BH157" s="182"/>
      <c r="BI157" s="183">
        <f t="shared" si="688"/>
        <v>0</v>
      </c>
      <c r="BJ157" s="182"/>
      <c r="BK157" s="183">
        <f t="shared" si="689"/>
        <v>0</v>
      </c>
      <c r="BL157" s="182">
        <v>5</v>
      </c>
      <c r="BM157" s="182">
        <f t="shared" ref="BM157" si="721">(BL157/12*11*$E157*$F157*$G157*$L157*$BM$12)+(BL157/12*$E157*$F157*$G157*$L157*$BM$12*$BM$15)</f>
        <v>493791.44886240386</v>
      </c>
      <c r="BN157" s="182"/>
      <c r="BO157" s="182">
        <f t="shared" si="691"/>
        <v>0</v>
      </c>
      <c r="BP157" s="182">
        <v>208</v>
      </c>
      <c r="BQ157" s="182">
        <f t="shared" si="718"/>
        <v>18991909.96814733</v>
      </c>
      <c r="BR157" s="182"/>
      <c r="BS157" s="183">
        <f t="shared" si="693"/>
        <v>0</v>
      </c>
      <c r="BT157" s="182">
        <v>10</v>
      </c>
      <c r="BU157" s="182">
        <f t="shared" si="694"/>
        <v>945786.37804389745</v>
      </c>
      <c r="BV157" s="182"/>
      <c r="BW157" s="182">
        <f t="shared" si="695"/>
        <v>0</v>
      </c>
      <c r="BX157" s="182"/>
      <c r="BY157" s="183">
        <f t="shared" si="696"/>
        <v>0</v>
      </c>
      <c r="BZ157" s="182"/>
      <c r="CA157" s="187">
        <f t="shared" si="697"/>
        <v>0</v>
      </c>
      <c r="CB157" s="182"/>
      <c r="CC157" s="182">
        <f t="shared" si="698"/>
        <v>0</v>
      </c>
      <c r="CD157" s="182"/>
      <c r="CE157" s="182">
        <f t="shared" si="699"/>
        <v>0</v>
      </c>
      <c r="CF157" s="182"/>
      <c r="CG157" s="182">
        <f t="shared" si="700"/>
        <v>0</v>
      </c>
      <c r="CH157" s="182">
        <v>1</v>
      </c>
      <c r="CI157" s="182">
        <f t="shared" si="719"/>
        <v>94615.456075039168</v>
      </c>
      <c r="CJ157" s="182"/>
      <c r="CK157" s="182"/>
      <c r="CL157" s="182"/>
      <c r="CM157" s="183">
        <f t="shared" si="702"/>
        <v>0</v>
      </c>
      <c r="CN157" s="182"/>
      <c r="CO157" s="183">
        <f t="shared" si="703"/>
        <v>0</v>
      </c>
      <c r="CP157" s="182"/>
      <c r="CQ157" s="182">
        <f t="shared" si="704"/>
        <v>0</v>
      </c>
      <c r="CR157" s="182">
        <v>14</v>
      </c>
      <c r="CS157" s="182">
        <f t="shared" si="720"/>
        <v>1187478.1375402305</v>
      </c>
      <c r="CT157" s="182"/>
      <c r="CU157" s="182">
        <f t="shared" si="706"/>
        <v>0</v>
      </c>
      <c r="CV157" s="182"/>
      <c r="CW157" s="182">
        <v>0</v>
      </c>
      <c r="CX157" s="182"/>
      <c r="CY157" s="182">
        <f t="shared" si="707"/>
        <v>0</v>
      </c>
      <c r="CZ157" s="182"/>
      <c r="DA157" s="182">
        <v>0</v>
      </c>
      <c r="DB157" s="188"/>
      <c r="DC157" s="182">
        <f t="shared" si="708"/>
        <v>0</v>
      </c>
      <c r="DD157" s="182"/>
      <c r="DE157" s="187">
        <f t="shared" si="709"/>
        <v>0</v>
      </c>
      <c r="DF157" s="182"/>
      <c r="DG157" s="182">
        <f t="shared" si="710"/>
        <v>0</v>
      </c>
      <c r="DH157" s="189"/>
      <c r="DI157" s="182">
        <f t="shared" si="711"/>
        <v>0</v>
      </c>
      <c r="DJ157" s="182"/>
      <c r="DK157" s="182">
        <f t="shared" si="712"/>
        <v>0</v>
      </c>
      <c r="DL157" s="182"/>
      <c r="DM157" s="182">
        <f t="shared" si="713"/>
        <v>0</v>
      </c>
      <c r="DN157" s="182"/>
      <c r="DO157" s="190">
        <f t="shared" si="714"/>
        <v>0</v>
      </c>
      <c r="DP157" s="187"/>
      <c r="DQ157" s="187"/>
      <c r="DR157" s="183">
        <f t="shared" si="715"/>
        <v>513</v>
      </c>
      <c r="DS157" s="183">
        <f t="shared" si="715"/>
        <v>46614427.879366957</v>
      </c>
      <c r="DT157" s="182">
        <v>513</v>
      </c>
      <c r="DU157" s="182">
        <v>44831880.927866653</v>
      </c>
      <c r="DV157" s="167">
        <f t="shared" si="626"/>
        <v>0</v>
      </c>
      <c r="DW157" s="167">
        <f t="shared" si="626"/>
        <v>1782546.951500304</v>
      </c>
    </row>
    <row r="158" spans="1:127" ht="30" customHeight="1" x14ac:dyDescent="0.25">
      <c r="A158" s="154"/>
      <c r="B158" s="176">
        <v>126</v>
      </c>
      <c r="C158" s="177" t="s">
        <v>403</v>
      </c>
      <c r="D158" s="210" t="s">
        <v>404</v>
      </c>
      <c r="E158" s="158">
        <v>25969</v>
      </c>
      <c r="F158" s="179">
        <v>1.89</v>
      </c>
      <c r="G158" s="243">
        <v>1.4</v>
      </c>
      <c r="H158" s="242"/>
      <c r="I158" s="242"/>
      <c r="J158" s="242"/>
      <c r="K158" s="106"/>
      <c r="L158" s="180">
        <v>1.4</v>
      </c>
      <c r="M158" s="180">
        <v>1.68</v>
      </c>
      <c r="N158" s="180">
        <v>2.23</v>
      </c>
      <c r="O158" s="181">
        <v>2.57</v>
      </c>
      <c r="P158" s="182"/>
      <c r="Q158" s="182">
        <f t="shared" si="672"/>
        <v>0</v>
      </c>
      <c r="R158" s="182"/>
      <c r="S158" s="182">
        <f t="shared" si="673"/>
        <v>0</v>
      </c>
      <c r="T158" s="182"/>
      <c r="U158" s="182">
        <f t="shared" si="674"/>
        <v>0</v>
      </c>
      <c r="V158" s="182">
        <v>96</v>
      </c>
      <c r="W158" s="183">
        <f t="shared" si="716"/>
        <v>11744880.04528957</v>
      </c>
      <c r="X158" s="183"/>
      <c r="Y158" s="183">
        <v>0</v>
      </c>
      <c r="Z158" s="183"/>
      <c r="AA158" s="183">
        <v>0</v>
      </c>
      <c r="AB158" s="182">
        <f t="shared" si="675"/>
        <v>0</v>
      </c>
      <c r="AC158" s="182">
        <f t="shared" si="675"/>
        <v>0</v>
      </c>
      <c r="AD158" s="182"/>
      <c r="AE158" s="182">
        <f t="shared" si="676"/>
        <v>0</v>
      </c>
      <c r="AF158" s="182"/>
      <c r="AG158" s="182"/>
      <c r="AH158" s="182"/>
      <c r="AI158" s="182">
        <f t="shared" si="677"/>
        <v>0</v>
      </c>
      <c r="AJ158" s="182"/>
      <c r="AK158" s="182"/>
      <c r="AL158" s="182"/>
      <c r="AM158" s="182"/>
      <c r="AN158" s="184"/>
      <c r="AO158" s="182">
        <f t="shared" si="678"/>
        <v>0</v>
      </c>
      <c r="AP158" s="182"/>
      <c r="AQ158" s="183">
        <f t="shared" si="679"/>
        <v>0</v>
      </c>
      <c r="AR158" s="182"/>
      <c r="AS158" s="182">
        <f t="shared" si="680"/>
        <v>0</v>
      </c>
      <c r="AT158" s="182">
        <v>75</v>
      </c>
      <c r="AU158" s="182">
        <f t="shared" si="681"/>
        <v>9977429.6093572378</v>
      </c>
      <c r="AV158" s="188"/>
      <c r="AW158" s="182">
        <f t="shared" si="682"/>
        <v>0</v>
      </c>
      <c r="AX158" s="182"/>
      <c r="AY158" s="187">
        <f t="shared" si="683"/>
        <v>0</v>
      </c>
      <c r="AZ158" s="182"/>
      <c r="BA158" s="182">
        <f t="shared" si="684"/>
        <v>0</v>
      </c>
      <c r="BB158" s="182"/>
      <c r="BC158" s="182">
        <f t="shared" si="685"/>
        <v>0</v>
      </c>
      <c r="BD158" s="182"/>
      <c r="BE158" s="182">
        <f t="shared" si="686"/>
        <v>0</v>
      </c>
      <c r="BF158" s="182"/>
      <c r="BG158" s="182">
        <f t="shared" si="687"/>
        <v>0</v>
      </c>
      <c r="BH158" s="182"/>
      <c r="BI158" s="183">
        <f t="shared" si="688"/>
        <v>0</v>
      </c>
      <c r="BJ158" s="182"/>
      <c r="BK158" s="183">
        <f t="shared" si="689"/>
        <v>0</v>
      </c>
      <c r="BL158" s="182"/>
      <c r="BM158" s="182">
        <f t="shared" si="690"/>
        <v>0</v>
      </c>
      <c r="BN158" s="182"/>
      <c r="BO158" s="182">
        <f t="shared" si="691"/>
        <v>0</v>
      </c>
      <c r="BP158" s="182">
        <v>32</v>
      </c>
      <c r="BQ158" s="182">
        <f t="shared" si="718"/>
        <v>3972851.1167458165</v>
      </c>
      <c r="BR158" s="182"/>
      <c r="BS158" s="183">
        <f t="shared" si="693"/>
        <v>0</v>
      </c>
      <c r="BT158" s="182"/>
      <c r="BU158" s="182">
        <f t="shared" si="694"/>
        <v>0</v>
      </c>
      <c r="BV158" s="182"/>
      <c r="BW158" s="182">
        <f t="shared" si="695"/>
        <v>0</v>
      </c>
      <c r="BX158" s="182"/>
      <c r="BY158" s="183">
        <f t="shared" si="696"/>
        <v>0</v>
      </c>
      <c r="BZ158" s="182"/>
      <c r="CA158" s="187">
        <f t="shared" si="697"/>
        <v>0</v>
      </c>
      <c r="CB158" s="182"/>
      <c r="CC158" s="182">
        <f t="shared" si="698"/>
        <v>0</v>
      </c>
      <c r="CD158" s="182"/>
      <c r="CE158" s="182">
        <f t="shared" si="699"/>
        <v>0</v>
      </c>
      <c r="CF158" s="182"/>
      <c r="CG158" s="182">
        <f t="shared" si="700"/>
        <v>0</v>
      </c>
      <c r="CH158" s="182"/>
      <c r="CI158" s="182">
        <f t="shared" si="701"/>
        <v>0</v>
      </c>
      <c r="CJ158" s="182"/>
      <c r="CK158" s="182"/>
      <c r="CL158" s="182"/>
      <c r="CM158" s="183">
        <f t="shared" si="702"/>
        <v>0</v>
      </c>
      <c r="CN158" s="182"/>
      <c r="CO158" s="183">
        <f t="shared" si="703"/>
        <v>0</v>
      </c>
      <c r="CP158" s="182"/>
      <c r="CQ158" s="182">
        <f t="shared" si="704"/>
        <v>0</v>
      </c>
      <c r="CR158" s="182"/>
      <c r="CS158" s="182">
        <f t="shared" si="705"/>
        <v>0</v>
      </c>
      <c r="CT158" s="182"/>
      <c r="CU158" s="182">
        <f t="shared" si="706"/>
        <v>0</v>
      </c>
      <c r="CV158" s="182"/>
      <c r="CW158" s="182">
        <v>0</v>
      </c>
      <c r="CX158" s="182">
        <v>1</v>
      </c>
      <c r="CY158" s="182">
        <f t="shared" si="707"/>
        <v>124581.12844978078</v>
      </c>
      <c r="CZ158" s="182"/>
      <c r="DA158" s="182">
        <v>0</v>
      </c>
      <c r="DB158" s="188"/>
      <c r="DC158" s="182">
        <f t="shared" si="708"/>
        <v>0</v>
      </c>
      <c r="DD158" s="182"/>
      <c r="DE158" s="187">
        <f t="shared" si="709"/>
        <v>0</v>
      </c>
      <c r="DF158" s="182"/>
      <c r="DG158" s="182">
        <f t="shared" si="710"/>
        <v>0</v>
      </c>
      <c r="DH158" s="189"/>
      <c r="DI158" s="182">
        <f t="shared" si="711"/>
        <v>0</v>
      </c>
      <c r="DJ158" s="182"/>
      <c r="DK158" s="182">
        <f t="shared" si="712"/>
        <v>0</v>
      </c>
      <c r="DL158" s="182"/>
      <c r="DM158" s="182">
        <f t="shared" si="713"/>
        <v>0</v>
      </c>
      <c r="DN158" s="182"/>
      <c r="DO158" s="190">
        <f t="shared" si="714"/>
        <v>0</v>
      </c>
      <c r="DP158" s="187"/>
      <c r="DQ158" s="187"/>
      <c r="DR158" s="183">
        <f t="shared" si="715"/>
        <v>204</v>
      </c>
      <c r="DS158" s="183">
        <f t="shared" si="715"/>
        <v>25819741.899842404</v>
      </c>
      <c r="DT158" s="182">
        <v>204</v>
      </c>
      <c r="DU158" s="182">
        <v>25247575.466819998</v>
      </c>
      <c r="DV158" s="167">
        <f t="shared" si="626"/>
        <v>0</v>
      </c>
      <c r="DW158" s="167">
        <f t="shared" si="626"/>
        <v>572166.43302240595</v>
      </c>
    </row>
    <row r="159" spans="1:127" ht="30" customHeight="1" x14ac:dyDescent="0.25">
      <c r="A159" s="154"/>
      <c r="B159" s="176">
        <v>127</v>
      </c>
      <c r="C159" s="177" t="s">
        <v>405</v>
      </c>
      <c r="D159" s="210" t="s">
        <v>406</v>
      </c>
      <c r="E159" s="158">
        <v>25969</v>
      </c>
      <c r="F159" s="179">
        <v>2.56</v>
      </c>
      <c r="G159" s="243">
        <v>1.4</v>
      </c>
      <c r="H159" s="242"/>
      <c r="I159" s="242"/>
      <c r="J159" s="242"/>
      <c r="K159" s="106"/>
      <c r="L159" s="180">
        <v>1.4</v>
      </c>
      <c r="M159" s="180">
        <v>1.68</v>
      </c>
      <c r="N159" s="180">
        <v>2.23</v>
      </c>
      <c r="O159" s="181">
        <v>2.57</v>
      </c>
      <c r="P159" s="182"/>
      <c r="Q159" s="182">
        <f t="shared" si="672"/>
        <v>0</v>
      </c>
      <c r="R159" s="182"/>
      <c r="S159" s="182">
        <f t="shared" si="673"/>
        <v>0</v>
      </c>
      <c r="T159" s="182"/>
      <c r="U159" s="182">
        <f t="shared" si="674"/>
        <v>0</v>
      </c>
      <c r="V159" s="182">
        <v>4</v>
      </c>
      <c r="W159" s="183">
        <f>(V159*$E159*$F159*$G159*$L159*$W$12)/12*10+(V159*$E159*$F159*$G159*$L159*$W$13)/12*1+(V159*$E159*$F159*$G159*$L159*$W$14*$W$15)/12*1</f>
        <v>662850.37292639562</v>
      </c>
      <c r="X159" s="183"/>
      <c r="Y159" s="183">
        <v>0</v>
      </c>
      <c r="Z159" s="183"/>
      <c r="AA159" s="183">
        <v>0</v>
      </c>
      <c r="AB159" s="182">
        <f t="shared" si="675"/>
        <v>0</v>
      </c>
      <c r="AC159" s="182">
        <f t="shared" si="675"/>
        <v>0</v>
      </c>
      <c r="AD159" s="182"/>
      <c r="AE159" s="182">
        <f t="shared" si="676"/>
        <v>0</v>
      </c>
      <c r="AF159" s="182"/>
      <c r="AG159" s="182"/>
      <c r="AH159" s="182"/>
      <c r="AI159" s="182">
        <f t="shared" si="677"/>
        <v>0</v>
      </c>
      <c r="AJ159" s="182"/>
      <c r="AK159" s="182"/>
      <c r="AL159" s="182"/>
      <c r="AM159" s="182"/>
      <c r="AN159" s="184"/>
      <c r="AO159" s="182">
        <f t="shared" si="678"/>
        <v>0</v>
      </c>
      <c r="AP159" s="182"/>
      <c r="AQ159" s="183">
        <f t="shared" si="679"/>
        <v>0</v>
      </c>
      <c r="AR159" s="182"/>
      <c r="AS159" s="182">
        <f t="shared" si="680"/>
        <v>0</v>
      </c>
      <c r="AT159" s="182">
        <v>10</v>
      </c>
      <c r="AU159" s="182">
        <f t="shared" si="681"/>
        <v>1801920.2680743933</v>
      </c>
      <c r="AV159" s="188"/>
      <c r="AW159" s="182">
        <f t="shared" si="682"/>
        <v>0</v>
      </c>
      <c r="AX159" s="182"/>
      <c r="AY159" s="187">
        <f t="shared" si="683"/>
        <v>0</v>
      </c>
      <c r="AZ159" s="182"/>
      <c r="BA159" s="182">
        <f t="shared" si="684"/>
        <v>0</v>
      </c>
      <c r="BB159" s="182"/>
      <c r="BC159" s="182">
        <f t="shared" si="685"/>
        <v>0</v>
      </c>
      <c r="BD159" s="182"/>
      <c r="BE159" s="182">
        <f t="shared" si="686"/>
        <v>0</v>
      </c>
      <c r="BF159" s="182"/>
      <c r="BG159" s="182">
        <f t="shared" si="687"/>
        <v>0</v>
      </c>
      <c r="BH159" s="182"/>
      <c r="BI159" s="183">
        <f t="shared" si="688"/>
        <v>0</v>
      </c>
      <c r="BJ159" s="182"/>
      <c r="BK159" s="183">
        <f t="shared" si="689"/>
        <v>0</v>
      </c>
      <c r="BL159" s="182"/>
      <c r="BM159" s="182">
        <f t="shared" si="690"/>
        <v>0</v>
      </c>
      <c r="BN159" s="182"/>
      <c r="BO159" s="182">
        <f t="shared" si="691"/>
        <v>0</v>
      </c>
      <c r="BP159" s="182">
        <v>2</v>
      </c>
      <c r="BQ159" s="182">
        <f t="shared" si="718"/>
        <v>336326.02046525438</v>
      </c>
      <c r="BR159" s="182"/>
      <c r="BS159" s="183">
        <f t="shared" si="693"/>
        <v>0</v>
      </c>
      <c r="BT159" s="182"/>
      <c r="BU159" s="182">
        <f t="shared" ref="BU159" si="722">(BT159*$E159*$F159*$G159*$M159*$BU$12)</f>
        <v>0</v>
      </c>
      <c r="BV159" s="182"/>
      <c r="BW159" s="182">
        <f t="shared" si="695"/>
        <v>0</v>
      </c>
      <c r="BX159" s="182">
        <v>2</v>
      </c>
      <c r="BY159" s="183">
        <f t="shared" si="696"/>
        <v>421765.85934766073</v>
      </c>
      <c r="BZ159" s="182"/>
      <c r="CA159" s="187">
        <f t="shared" si="697"/>
        <v>0</v>
      </c>
      <c r="CB159" s="182"/>
      <c r="CC159" s="182">
        <f t="shared" si="698"/>
        <v>0</v>
      </c>
      <c r="CD159" s="182">
        <v>10</v>
      </c>
      <c r="CE159" s="182">
        <f t="shared" si="699"/>
        <v>1303020.5439999998</v>
      </c>
      <c r="CF159" s="182"/>
      <c r="CG159" s="182">
        <f t="shared" si="700"/>
        <v>0</v>
      </c>
      <c r="CH159" s="182"/>
      <c r="CI159" s="182">
        <f t="shared" si="701"/>
        <v>0</v>
      </c>
      <c r="CJ159" s="182"/>
      <c r="CK159" s="182"/>
      <c r="CL159" s="182"/>
      <c r="CM159" s="183">
        <f t="shared" si="702"/>
        <v>0</v>
      </c>
      <c r="CN159" s="182"/>
      <c r="CO159" s="183">
        <f t="shared" si="703"/>
        <v>0</v>
      </c>
      <c r="CP159" s="182"/>
      <c r="CQ159" s="182">
        <f t="shared" si="704"/>
        <v>0</v>
      </c>
      <c r="CR159" s="182"/>
      <c r="CS159" s="182">
        <f t="shared" si="705"/>
        <v>0</v>
      </c>
      <c r="CT159" s="182"/>
      <c r="CU159" s="182">
        <f t="shared" si="706"/>
        <v>0</v>
      </c>
      <c r="CV159" s="182">
        <v>1</v>
      </c>
      <c r="CW159" s="182">
        <v>165088.04999999999</v>
      </c>
      <c r="CX159" s="182"/>
      <c r="CY159" s="182">
        <f t="shared" si="707"/>
        <v>0</v>
      </c>
      <c r="CZ159" s="182"/>
      <c r="DA159" s="182">
        <v>0</v>
      </c>
      <c r="DB159" s="188"/>
      <c r="DC159" s="182">
        <f t="shared" si="708"/>
        <v>0</v>
      </c>
      <c r="DD159" s="182"/>
      <c r="DE159" s="187">
        <f t="shared" si="709"/>
        <v>0</v>
      </c>
      <c r="DF159" s="182"/>
      <c r="DG159" s="182">
        <f t="shared" si="710"/>
        <v>0</v>
      </c>
      <c r="DH159" s="189"/>
      <c r="DI159" s="182">
        <f t="shared" si="711"/>
        <v>0</v>
      </c>
      <c r="DJ159" s="182"/>
      <c r="DK159" s="182">
        <f t="shared" si="712"/>
        <v>0</v>
      </c>
      <c r="DL159" s="182"/>
      <c r="DM159" s="182">
        <f t="shared" si="713"/>
        <v>0</v>
      </c>
      <c r="DN159" s="182"/>
      <c r="DO159" s="190">
        <f t="shared" si="714"/>
        <v>0</v>
      </c>
      <c r="DP159" s="187"/>
      <c r="DQ159" s="187"/>
      <c r="DR159" s="183">
        <f t="shared" si="715"/>
        <v>29</v>
      </c>
      <c r="DS159" s="183">
        <f t="shared" si="715"/>
        <v>4690971.114813704</v>
      </c>
      <c r="DT159" s="182">
        <v>29</v>
      </c>
      <c r="DU159" s="182">
        <v>4575378.2512586657</v>
      </c>
      <c r="DV159" s="167">
        <f t="shared" si="626"/>
        <v>0</v>
      </c>
      <c r="DW159" s="167">
        <f t="shared" si="626"/>
        <v>115592.86355503835</v>
      </c>
    </row>
    <row r="160" spans="1:127" ht="16.5" customHeight="1" x14ac:dyDescent="0.25">
      <c r="A160" s="170">
        <v>18</v>
      </c>
      <c r="B160" s="211"/>
      <c r="C160" s="157"/>
      <c r="D160" s="211" t="s">
        <v>407</v>
      </c>
      <c r="E160" s="158">
        <v>25969</v>
      </c>
      <c r="F160" s="199">
        <v>1.69</v>
      </c>
      <c r="G160" s="171"/>
      <c r="H160" s="169"/>
      <c r="I160" s="169"/>
      <c r="J160" s="169"/>
      <c r="K160" s="173"/>
      <c r="L160" s="174">
        <v>1.4</v>
      </c>
      <c r="M160" s="174">
        <v>1.68</v>
      </c>
      <c r="N160" s="174">
        <v>2.23</v>
      </c>
      <c r="O160" s="175">
        <v>2.57</v>
      </c>
      <c r="P160" s="166">
        <f t="shared" ref="P160:CA160" si="723">SUM(P161:P163)</f>
        <v>396</v>
      </c>
      <c r="Q160" s="166">
        <f t="shared" si="723"/>
        <v>27092356.614399999</v>
      </c>
      <c r="R160" s="166">
        <f t="shared" si="723"/>
        <v>3</v>
      </c>
      <c r="S160" s="166">
        <f t="shared" si="723"/>
        <v>199161.45480000001</v>
      </c>
      <c r="T160" s="166">
        <f t="shared" si="723"/>
        <v>63</v>
      </c>
      <c r="U160" s="166">
        <f t="shared" si="723"/>
        <v>4919584.2398499986</v>
      </c>
      <c r="V160" s="166">
        <f t="shared" si="723"/>
        <v>0</v>
      </c>
      <c r="W160" s="166">
        <f t="shared" si="723"/>
        <v>0</v>
      </c>
      <c r="X160" s="166">
        <v>0</v>
      </c>
      <c r="Y160" s="166">
        <v>0</v>
      </c>
      <c r="Z160" s="166">
        <v>0</v>
      </c>
      <c r="AA160" s="166">
        <v>0</v>
      </c>
      <c r="AB160" s="166">
        <f t="shared" si="723"/>
        <v>0</v>
      </c>
      <c r="AC160" s="166">
        <f t="shared" si="723"/>
        <v>0</v>
      </c>
      <c r="AD160" s="166">
        <f t="shared" si="723"/>
        <v>0</v>
      </c>
      <c r="AE160" s="166">
        <f t="shared" si="723"/>
        <v>0</v>
      </c>
      <c r="AF160" s="166">
        <f t="shared" si="723"/>
        <v>0</v>
      </c>
      <c r="AG160" s="166">
        <f t="shared" si="723"/>
        <v>0</v>
      </c>
      <c r="AH160" s="166">
        <f t="shared" si="723"/>
        <v>195</v>
      </c>
      <c r="AI160" s="166">
        <f t="shared" si="723"/>
        <v>13081468.245999999</v>
      </c>
      <c r="AJ160" s="166">
        <f>SUM(AJ161:AJ163)</f>
        <v>0</v>
      </c>
      <c r="AK160" s="166">
        <f>SUM(AK161:AK163)</f>
        <v>0</v>
      </c>
      <c r="AL160" s="166">
        <f t="shared" si="723"/>
        <v>0</v>
      </c>
      <c r="AM160" s="166">
        <f t="shared" si="723"/>
        <v>0</v>
      </c>
      <c r="AN160" s="166">
        <f t="shared" si="723"/>
        <v>0</v>
      </c>
      <c r="AO160" s="166">
        <f t="shared" si="723"/>
        <v>0</v>
      </c>
      <c r="AP160" s="166">
        <f t="shared" si="723"/>
        <v>7</v>
      </c>
      <c r="AQ160" s="166">
        <f t="shared" si="723"/>
        <v>474708.12619999994</v>
      </c>
      <c r="AR160" s="166">
        <f t="shared" si="723"/>
        <v>0</v>
      </c>
      <c r="AS160" s="166">
        <f t="shared" si="723"/>
        <v>0</v>
      </c>
      <c r="AT160" s="166">
        <f t="shared" si="723"/>
        <v>0</v>
      </c>
      <c r="AU160" s="166">
        <f t="shared" si="723"/>
        <v>0</v>
      </c>
      <c r="AV160" s="166">
        <f t="shared" si="723"/>
        <v>0</v>
      </c>
      <c r="AW160" s="166">
        <f t="shared" si="723"/>
        <v>0</v>
      </c>
      <c r="AX160" s="166">
        <f t="shared" si="723"/>
        <v>0</v>
      </c>
      <c r="AY160" s="166">
        <f t="shared" si="723"/>
        <v>0</v>
      </c>
      <c r="AZ160" s="166">
        <f t="shared" si="723"/>
        <v>0</v>
      </c>
      <c r="BA160" s="166">
        <f t="shared" si="723"/>
        <v>0</v>
      </c>
      <c r="BB160" s="166">
        <f t="shared" si="723"/>
        <v>0</v>
      </c>
      <c r="BC160" s="166">
        <f t="shared" si="723"/>
        <v>0</v>
      </c>
      <c r="BD160" s="166">
        <f t="shared" si="723"/>
        <v>0</v>
      </c>
      <c r="BE160" s="166">
        <f t="shared" si="723"/>
        <v>0</v>
      </c>
      <c r="BF160" s="166">
        <f t="shared" si="723"/>
        <v>0</v>
      </c>
      <c r="BG160" s="166">
        <f t="shared" si="723"/>
        <v>0</v>
      </c>
      <c r="BH160" s="166">
        <f t="shared" si="723"/>
        <v>0</v>
      </c>
      <c r="BI160" s="166">
        <f t="shared" si="723"/>
        <v>0</v>
      </c>
      <c r="BJ160" s="166">
        <f t="shared" si="723"/>
        <v>0</v>
      </c>
      <c r="BK160" s="166">
        <f t="shared" si="723"/>
        <v>0</v>
      </c>
      <c r="BL160" s="166">
        <f t="shared" si="723"/>
        <v>0</v>
      </c>
      <c r="BM160" s="166">
        <f t="shared" si="723"/>
        <v>0</v>
      </c>
      <c r="BN160" s="166">
        <f t="shared" si="723"/>
        <v>30</v>
      </c>
      <c r="BO160" s="166">
        <f t="shared" si="723"/>
        <v>2389937.4575999998</v>
      </c>
      <c r="BP160" s="166">
        <f t="shared" si="723"/>
        <v>9</v>
      </c>
      <c r="BQ160" s="166">
        <f t="shared" si="723"/>
        <v>722106.22976566199</v>
      </c>
      <c r="BR160" s="166">
        <f t="shared" si="723"/>
        <v>0</v>
      </c>
      <c r="BS160" s="166">
        <f t="shared" si="723"/>
        <v>0</v>
      </c>
      <c r="BT160" s="166">
        <f t="shared" si="723"/>
        <v>4</v>
      </c>
      <c r="BU160" s="166">
        <f t="shared" si="723"/>
        <v>322714.36537571839</v>
      </c>
      <c r="BV160" s="166">
        <f t="shared" si="723"/>
        <v>0</v>
      </c>
      <c r="BW160" s="166">
        <f t="shared" si="723"/>
        <v>0</v>
      </c>
      <c r="BX160" s="166">
        <f t="shared" si="723"/>
        <v>2</v>
      </c>
      <c r="BY160" s="166">
        <f t="shared" si="723"/>
        <v>195349.14244339199</v>
      </c>
      <c r="BZ160" s="166">
        <f t="shared" si="723"/>
        <v>0</v>
      </c>
      <c r="CA160" s="166">
        <f t="shared" si="723"/>
        <v>0</v>
      </c>
      <c r="CB160" s="166">
        <f t="shared" ref="CB160:DQ160" si="724">SUM(CB161:CB163)</f>
        <v>0</v>
      </c>
      <c r="CC160" s="166">
        <f t="shared" si="724"/>
        <v>0</v>
      </c>
      <c r="CD160" s="166">
        <f t="shared" si="724"/>
        <v>0</v>
      </c>
      <c r="CE160" s="166">
        <f t="shared" si="724"/>
        <v>0</v>
      </c>
      <c r="CF160" s="166">
        <f t="shared" si="724"/>
        <v>0</v>
      </c>
      <c r="CG160" s="166">
        <f t="shared" si="724"/>
        <v>0</v>
      </c>
      <c r="CH160" s="166">
        <f t="shared" si="724"/>
        <v>3</v>
      </c>
      <c r="CI160" s="166">
        <f t="shared" si="724"/>
        <v>246992.04360801599</v>
      </c>
      <c r="CJ160" s="166">
        <f t="shared" si="724"/>
        <v>0</v>
      </c>
      <c r="CK160" s="166">
        <f t="shared" si="724"/>
        <v>0</v>
      </c>
      <c r="CL160" s="166">
        <f t="shared" si="724"/>
        <v>0</v>
      </c>
      <c r="CM160" s="166">
        <f t="shared" si="724"/>
        <v>0</v>
      </c>
      <c r="CN160" s="166">
        <f t="shared" si="724"/>
        <v>0</v>
      </c>
      <c r="CO160" s="166">
        <f t="shared" si="724"/>
        <v>0</v>
      </c>
      <c r="CP160" s="166">
        <f t="shared" si="724"/>
        <v>0</v>
      </c>
      <c r="CQ160" s="166">
        <f t="shared" si="724"/>
        <v>0</v>
      </c>
      <c r="CR160" s="166">
        <f t="shared" si="724"/>
        <v>4</v>
      </c>
      <c r="CS160" s="166">
        <f t="shared" si="724"/>
        <v>293774.87325727334</v>
      </c>
      <c r="CT160" s="166">
        <f t="shared" si="724"/>
        <v>0</v>
      </c>
      <c r="CU160" s="166">
        <f t="shared" si="724"/>
        <v>0</v>
      </c>
      <c r="CV160" s="166">
        <f t="shared" si="724"/>
        <v>5</v>
      </c>
      <c r="CW160" s="166">
        <v>297324.27</v>
      </c>
      <c r="CX160" s="166">
        <f t="shared" si="724"/>
        <v>0</v>
      </c>
      <c r="CY160" s="166">
        <f t="shared" si="724"/>
        <v>0</v>
      </c>
      <c r="CZ160" s="166">
        <f t="shared" si="724"/>
        <v>80</v>
      </c>
      <c r="DA160" s="166">
        <v>5748414.5500000091</v>
      </c>
      <c r="DB160" s="166">
        <f t="shared" si="724"/>
        <v>0</v>
      </c>
      <c r="DC160" s="166">
        <f t="shared" si="724"/>
        <v>0</v>
      </c>
      <c r="DD160" s="166">
        <f t="shared" si="724"/>
        <v>0</v>
      </c>
      <c r="DE160" s="166">
        <f t="shared" si="724"/>
        <v>0</v>
      </c>
      <c r="DF160" s="166">
        <f t="shared" si="724"/>
        <v>0</v>
      </c>
      <c r="DG160" s="166">
        <f t="shared" si="724"/>
        <v>0</v>
      </c>
      <c r="DH160" s="166">
        <f t="shared" si="724"/>
        <v>0</v>
      </c>
      <c r="DI160" s="166">
        <f t="shared" si="724"/>
        <v>0</v>
      </c>
      <c r="DJ160" s="166">
        <f t="shared" si="724"/>
        <v>1</v>
      </c>
      <c r="DK160" s="166">
        <f t="shared" si="724"/>
        <v>81295.077267179979</v>
      </c>
      <c r="DL160" s="166">
        <f t="shared" si="724"/>
        <v>0</v>
      </c>
      <c r="DM160" s="166">
        <f t="shared" si="724"/>
        <v>0</v>
      </c>
      <c r="DN160" s="166">
        <f t="shared" si="724"/>
        <v>6</v>
      </c>
      <c r="DO160" s="166">
        <f t="shared" si="724"/>
        <v>678081.7527999999</v>
      </c>
      <c r="DP160" s="166">
        <f t="shared" si="724"/>
        <v>0</v>
      </c>
      <c r="DQ160" s="166">
        <f t="shared" si="724"/>
        <v>0</v>
      </c>
      <c r="DR160" s="166">
        <f>SUM(DR161:DR163)</f>
        <v>808</v>
      </c>
      <c r="DS160" s="166">
        <f t="shared" ref="DS160" si="725">SUM(DS161:DS163)</f>
        <v>56743268.44336725</v>
      </c>
      <c r="DT160" s="166">
        <v>807</v>
      </c>
      <c r="DU160" s="166">
        <v>56468195.59757334</v>
      </c>
      <c r="DV160" s="167">
        <f t="shared" si="626"/>
        <v>1</v>
      </c>
      <c r="DW160" s="167">
        <f t="shared" si="626"/>
        <v>275072.84579391032</v>
      </c>
    </row>
    <row r="161" spans="1:127" ht="18.75" customHeight="1" x14ac:dyDescent="0.25">
      <c r="A161" s="154"/>
      <c r="B161" s="251">
        <v>128</v>
      </c>
      <c r="C161" s="177" t="s">
        <v>408</v>
      </c>
      <c r="D161" s="210" t="s">
        <v>409</v>
      </c>
      <c r="E161" s="158">
        <v>25969</v>
      </c>
      <c r="F161" s="179">
        <v>1.66</v>
      </c>
      <c r="G161" s="168">
        <v>1</v>
      </c>
      <c r="H161" s="242"/>
      <c r="I161" s="242"/>
      <c r="J161" s="242"/>
      <c r="K161" s="106"/>
      <c r="L161" s="180">
        <v>1.4</v>
      </c>
      <c r="M161" s="180">
        <v>1.68</v>
      </c>
      <c r="N161" s="180">
        <v>2.23</v>
      </c>
      <c r="O161" s="181">
        <v>2.57</v>
      </c>
      <c r="P161" s="182">
        <v>188</v>
      </c>
      <c r="Q161" s="182">
        <f>(P161*$E161*$F161*$G161*$L161*$Q$12)</f>
        <v>12480784.500799999</v>
      </c>
      <c r="R161" s="182">
        <v>3</v>
      </c>
      <c r="S161" s="182">
        <f>(R161*$E161*$F161*$G161*$L161*$S$12)</f>
        <v>199161.45480000001</v>
      </c>
      <c r="T161" s="182">
        <v>11</v>
      </c>
      <c r="U161" s="182">
        <f t="shared" ref="U161:U163" si="726">(T161/12*11*$E161*$F161*$G161*$L161*$U$12)+(T161/12*1*$E161*$F161*$G161*$L161*$U$14)</f>
        <v>838137.78894999973</v>
      </c>
      <c r="V161" s="182"/>
      <c r="W161" s="183">
        <f t="shared" ref="W161:W163" si="727">(V161*$E161*$F161*$G161*$L161*$W$12)/12*10+(V161*$E161*$F161*$G161*$L161*$W$13)/12*1++(V161*$E161*$F161*$G161*$L161*$W$14)/12*1</f>
        <v>0</v>
      </c>
      <c r="X161" s="183"/>
      <c r="Y161" s="183">
        <v>0</v>
      </c>
      <c r="Z161" s="183"/>
      <c r="AA161" s="183">
        <v>0</v>
      </c>
      <c r="AB161" s="182">
        <f t="shared" ref="AB161:AC163" si="728">X161+Z161</f>
        <v>0</v>
      </c>
      <c r="AC161" s="182">
        <f t="shared" si="728"/>
        <v>0</v>
      </c>
      <c r="AD161" s="182"/>
      <c r="AE161" s="182">
        <f>(AD161*$E161*$F161*$G161*$L161*$AE$12)</f>
        <v>0</v>
      </c>
      <c r="AF161" s="182"/>
      <c r="AG161" s="182"/>
      <c r="AH161" s="182">
        <v>160</v>
      </c>
      <c r="AI161" s="182">
        <f>(AH161*$E161*$F161*$G161*$L161*$AI$12)</f>
        <v>10621944.255999999</v>
      </c>
      <c r="AJ161" s="182"/>
      <c r="AK161" s="182"/>
      <c r="AL161" s="182"/>
      <c r="AM161" s="182"/>
      <c r="AN161" s="184"/>
      <c r="AO161" s="182">
        <f>(AN161*$E161*$F161*$G161*$L161*$AO$12)</f>
        <v>0</v>
      </c>
      <c r="AP161" s="182">
        <f>5-3</f>
        <v>2</v>
      </c>
      <c r="AQ161" s="183">
        <f>(AP161*$E161*$F161*$G161*$L161*$AQ$12)</f>
        <v>132774.30319999999</v>
      </c>
      <c r="AR161" s="182"/>
      <c r="AS161" s="182">
        <f t="shared" ref="AS161:AS163" si="729">(AR161*$E161*$F161*$G161*$L161*$AS$12)/12*10+(AR161*$E161*$F161*$G161*$L161*$AS$13)/12*1+(AR161*$E161*$F161*$G161*$L161*$AS$14)/12*1</f>
        <v>0</v>
      </c>
      <c r="AT161" s="182"/>
      <c r="AU161" s="182">
        <f>(AT161*$E161*$F161*$G161*$M161*$AU$12)</f>
        <v>0</v>
      </c>
      <c r="AV161" s="188"/>
      <c r="AW161" s="182">
        <f>(AV161*$E161*$F161*$G161*$M161*$AW$12)</f>
        <v>0</v>
      </c>
      <c r="AX161" s="182"/>
      <c r="AY161" s="187">
        <f>(AX161*$E161*$F161*$G161*$M161*$AY$12)</f>
        <v>0</v>
      </c>
      <c r="AZ161" s="182"/>
      <c r="BA161" s="182">
        <f>(AZ161*$E161*$F161*$G161*$L161*$BA$12)</f>
        <v>0</v>
      </c>
      <c r="BB161" s="182"/>
      <c r="BC161" s="182">
        <f>(BB161*$E161*$F161*$G161*$L161*$BC$12)</f>
        <v>0</v>
      </c>
      <c r="BD161" s="182"/>
      <c r="BE161" s="182">
        <f>(BD161*$E161*$F161*$G161*$L161*$BE$12)</f>
        <v>0</v>
      </c>
      <c r="BF161" s="182"/>
      <c r="BG161" s="182">
        <f>(BF161*$E161*$F161*$G161*$L161*$BG$12)</f>
        <v>0</v>
      </c>
      <c r="BH161" s="182"/>
      <c r="BI161" s="183">
        <f>(BH161*$E161*$F161*$G161*$L161*$BI$12)</f>
        <v>0</v>
      </c>
      <c r="BJ161" s="182"/>
      <c r="BK161" s="183">
        <f>(BJ161*$E161*$F161*$G161*$L161*$BK$12)</f>
        <v>0</v>
      </c>
      <c r="BL161" s="182"/>
      <c r="BM161" s="182">
        <f>(BL161*$E161*$F161*$G161*$L161*$BM$12)</f>
        <v>0</v>
      </c>
      <c r="BN161" s="182">
        <v>30</v>
      </c>
      <c r="BO161" s="182">
        <f>(BN161*$E161*$F161*$G161*$M161*$BO$12)</f>
        <v>2389937.4575999998</v>
      </c>
      <c r="BP161" s="182"/>
      <c r="BQ161" s="182">
        <f>(BP161*$E161*$F161*$G161*$M161*$BQ$12)</f>
        <v>0</v>
      </c>
      <c r="BR161" s="182"/>
      <c r="BS161" s="183">
        <f>(BR161*$E161*$F161*$G161*$M161*$BS$12)</f>
        <v>0</v>
      </c>
      <c r="BT161" s="182">
        <v>4</v>
      </c>
      <c r="BU161" s="182">
        <f t="shared" ref="BU161" si="730">(BT161*$E161*$F161*$G161*$M161*$BU$12)/12*10+(BT161*$E161*$F161*$G161*$M161*$BU$13)/12+(BT161*$E161*$F161*$G161*$M161*$BU$13*$BU$15)/12</f>
        <v>322714.36537571839</v>
      </c>
      <c r="BV161" s="182"/>
      <c r="BW161" s="182">
        <f>(BV161*$E161*$F161*$G161*$M161*$BW$12)</f>
        <v>0</v>
      </c>
      <c r="BX161" s="182">
        <v>2</v>
      </c>
      <c r="BY161" s="183">
        <f t="shared" ref="BY161" si="731">(BX161*$E161*$F161*$G161*$M161*$BY$12)/12*11+(BX161*$E161*$F161*$G161*$M161*$BY$12*$BY$15)/12</f>
        <v>195349.14244339199</v>
      </c>
      <c r="BZ161" s="182"/>
      <c r="CA161" s="187">
        <f>(BZ161*$E161*$F161*$G161*$M161*$CA$12)</f>
        <v>0</v>
      </c>
      <c r="CB161" s="182"/>
      <c r="CC161" s="182">
        <f>(CB161*$E161*$F161*$G161*$L161*$CC$12)</f>
        <v>0</v>
      </c>
      <c r="CD161" s="182"/>
      <c r="CE161" s="182">
        <f>(CD161*$E161*$F161*$G161*$L161*$CE$12)</f>
        <v>0</v>
      </c>
      <c r="CF161" s="182"/>
      <c r="CG161" s="182">
        <f>(CF161*$E161*$F161*$G161*$L161*$CG$12)</f>
        <v>0</v>
      </c>
      <c r="CH161" s="182">
        <v>1</v>
      </c>
      <c r="CI161" s="182">
        <f t="shared" ref="CI161:CI163" si="732">(CH161*$E161*$F161*$G161*$M161*$CI$12)/12*11+(CH161*$E161*$F161*$G161*$M161*$CI$12*$CI$15)/12</f>
        <v>80709.998501832</v>
      </c>
      <c r="CJ161" s="182"/>
      <c r="CK161" s="182"/>
      <c r="CL161" s="182"/>
      <c r="CM161" s="183">
        <f>(CL161*$E161*$F161*$G161*$L161*$CM$12)</f>
        <v>0</v>
      </c>
      <c r="CN161" s="182"/>
      <c r="CO161" s="183">
        <f>(CN161*$E161*$F161*$G161*$L161*$CO$12)</f>
        <v>0</v>
      </c>
      <c r="CP161" s="182"/>
      <c r="CQ161" s="182">
        <f>(CP161*$E161*$F161*$G161*$L161*$CQ$12)</f>
        <v>0</v>
      </c>
      <c r="CR161" s="182">
        <v>2</v>
      </c>
      <c r="CS161" s="182">
        <f t="shared" ref="CS161" si="733">(CR161*$E161*$F161*$G161*$L161*$CS$12)/12*10+(CR161*$E161*$F161*$G161*$L161*$CS$13)/12+(CR161*$E161*$F161*$G161*$L161*$CS$13*$CS$15)/12</f>
        <v>144708.09780625332</v>
      </c>
      <c r="CT161" s="182"/>
      <c r="CU161" s="182">
        <f>(CT161*$E161*$F161*$G161*$L161*$CU$12)</f>
        <v>0</v>
      </c>
      <c r="CV161" s="252">
        <v>1</v>
      </c>
      <c r="CW161" s="182">
        <v>36211.18</v>
      </c>
      <c r="CX161" s="182"/>
      <c r="CY161" s="182">
        <f>(CX161*$E161*$F161*$G161*$M161*$CY$12)</f>
        <v>0</v>
      </c>
      <c r="CZ161" s="182">
        <v>7</v>
      </c>
      <c r="DA161" s="182">
        <v>488850.86</v>
      </c>
      <c r="DB161" s="188"/>
      <c r="DC161" s="182">
        <f>(DB161*$E161*$F161*$G161*$M161*$DC$12)</f>
        <v>0</v>
      </c>
      <c r="DD161" s="182"/>
      <c r="DE161" s="187">
        <f t="shared" ref="DE161:DE163" si="734">(DD161*$E161*$F161*$G161*$M161*DE$12)</f>
        <v>0</v>
      </c>
      <c r="DF161" s="182"/>
      <c r="DG161" s="182">
        <f>(DF161*$E161*$F161*$G161*$M161*$DG$12)</f>
        <v>0</v>
      </c>
      <c r="DH161" s="189"/>
      <c r="DI161" s="182">
        <f>(DH161*$E161*$F161*$G161*$M161*$DI$12)</f>
        <v>0</v>
      </c>
      <c r="DJ161" s="182"/>
      <c r="DK161" s="182">
        <f>(DJ161*$E161*$F161*$G161*$M161*$DK$12)</f>
        <v>0</v>
      </c>
      <c r="DL161" s="182"/>
      <c r="DM161" s="182">
        <f>(DL161*$E161*$F161*$G161*$N161*$DM$12)</f>
        <v>0</v>
      </c>
      <c r="DN161" s="182">
        <f>ROUND(2*0.75,0)</f>
        <v>2</v>
      </c>
      <c r="DO161" s="190">
        <f>(DN161*$E161*$F161*$G161*$O161*$DO$12)</f>
        <v>221577.89559999999</v>
      </c>
      <c r="DP161" s="187"/>
      <c r="DQ161" s="187"/>
      <c r="DR161" s="183">
        <f t="shared" ref="DR161:DS163" si="735">SUM(P161,R161,T161,V161,AB161,AJ161,AD161,AF161,AH161,AL161,AN161,AP161,AV161,AZ161,BB161,CF161,AR161,BF161,BH161,BJ161,CT161,BL161,BN161,AT161,BR161,AX161,CV161,BT161,CX161,BV161,BX161,BZ161,CH161,CB161,CD161,CJ161,CL161,CN161,CP161,CR161,CZ161,DB161,BP161,BD161,DD161,DF161,DH161,DJ161,DL161,DN161,DP161)</f>
        <v>413</v>
      </c>
      <c r="DS161" s="183">
        <f t="shared" si="735"/>
        <v>28152861.301077195</v>
      </c>
      <c r="DT161" s="182">
        <v>411</v>
      </c>
      <c r="DU161" s="182">
        <v>27938616.057773329</v>
      </c>
      <c r="DV161" s="167">
        <f t="shared" si="626"/>
        <v>2</v>
      </c>
      <c r="DW161" s="167">
        <f t="shared" si="626"/>
        <v>214245.24330386519</v>
      </c>
    </row>
    <row r="162" spans="1:127" ht="30" customHeight="1" x14ac:dyDescent="0.25">
      <c r="A162" s="154"/>
      <c r="B162" s="251">
        <v>129</v>
      </c>
      <c r="C162" s="177" t="s">
        <v>410</v>
      </c>
      <c r="D162" s="210" t="s">
        <v>411</v>
      </c>
      <c r="E162" s="158">
        <v>25969</v>
      </c>
      <c r="F162" s="179">
        <v>1.82</v>
      </c>
      <c r="G162" s="168">
        <v>1</v>
      </c>
      <c r="H162" s="169"/>
      <c r="I162" s="169"/>
      <c r="J162" s="169"/>
      <c r="K162" s="106"/>
      <c r="L162" s="180">
        <v>1.4</v>
      </c>
      <c r="M162" s="180">
        <v>1.68</v>
      </c>
      <c r="N162" s="180">
        <v>2.23</v>
      </c>
      <c r="O162" s="181">
        <v>2.57</v>
      </c>
      <c r="P162" s="182">
        <v>88</v>
      </c>
      <c r="Q162" s="182">
        <f>(P162*$E162*$F162*$G162*$L162*$Q$12)</f>
        <v>6405160.3616000004</v>
      </c>
      <c r="R162" s="182"/>
      <c r="S162" s="182">
        <f>(R162*$E162*$F162*$G162*$L162*$S$12)</f>
        <v>0</v>
      </c>
      <c r="T162" s="182"/>
      <c r="U162" s="182">
        <f t="shared" si="726"/>
        <v>0</v>
      </c>
      <c r="V162" s="182"/>
      <c r="W162" s="183">
        <f t="shared" si="727"/>
        <v>0</v>
      </c>
      <c r="X162" s="183"/>
      <c r="Y162" s="183">
        <v>0</v>
      </c>
      <c r="Z162" s="183"/>
      <c r="AA162" s="183">
        <v>0</v>
      </c>
      <c r="AB162" s="182">
        <f t="shared" si="728"/>
        <v>0</v>
      </c>
      <c r="AC162" s="182">
        <f t="shared" si="728"/>
        <v>0</v>
      </c>
      <c r="AD162" s="182"/>
      <c r="AE162" s="182">
        <f>(AD162*$E162*$F162*$G162*$L162*$AE$12)</f>
        <v>0</v>
      </c>
      <c r="AF162" s="182"/>
      <c r="AG162" s="182"/>
      <c r="AH162" s="182">
        <v>15</v>
      </c>
      <c r="AI162" s="182">
        <f>(AH162*$E162*$F162*$G162*$L162*$AI$12)</f>
        <v>1091788.6980000001</v>
      </c>
      <c r="AJ162" s="182"/>
      <c r="AK162" s="182"/>
      <c r="AL162" s="182"/>
      <c r="AM162" s="182"/>
      <c r="AN162" s="184"/>
      <c r="AO162" s="182">
        <f>(AN162*$E162*$F162*$G162*$L162*$AO$12)</f>
        <v>0</v>
      </c>
      <c r="AP162" s="182"/>
      <c r="AQ162" s="183">
        <f>(AP162*$E162*$F162*$G162*$L162*$AQ$12)</f>
        <v>0</v>
      </c>
      <c r="AR162" s="182"/>
      <c r="AS162" s="182">
        <f t="shared" si="729"/>
        <v>0</v>
      </c>
      <c r="AT162" s="182"/>
      <c r="AU162" s="182">
        <f>(AT162*$E162*$F162*$G162*$M162*$AU$12)</f>
        <v>0</v>
      </c>
      <c r="AV162" s="188"/>
      <c r="AW162" s="182">
        <f>(AV162*$E162*$F162*$G162*$M162*$AW$12)</f>
        <v>0</v>
      </c>
      <c r="AX162" s="182"/>
      <c r="AY162" s="187">
        <f>(AX162*$E162*$F162*$G162*$M162*$AY$12)</f>
        <v>0</v>
      </c>
      <c r="AZ162" s="182"/>
      <c r="BA162" s="182">
        <f>(AZ162*$E162*$F162*$G162*$L162*$BA$12)</f>
        <v>0</v>
      </c>
      <c r="BB162" s="182"/>
      <c r="BC162" s="182">
        <f>(BB162*$E162*$F162*$G162*$L162*$BC$12)</f>
        <v>0</v>
      </c>
      <c r="BD162" s="182"/>
      <c r="BE162" s="182">
        <f>(BD162*$E162*$F162*$G162*$L162*$BE$12)</f>
        <v>0</v>
      </c>
      <c r="BF162" s="182"/>
      <c r="BG162" s="182">
        <f>(BF162*$E162*$F162*$G162*$L162*$BG$12)</f>
        <v>0</v>
      </c>
      <c r="BH162" s="182"/>
      <c r="BI162" s="183">
        <f>(BH162*$E162*$F162*$G162*$L162*$BI$12)</f>
        <v>0</v>
      </c>
      <c r="BJ162" s="182"/>
      <c r="BK162" s="183">
        <f>(BJ162*$E162*$F162*$G162*$L162*$BK$12)</f>
        <v>0</v>
      </c>
      <c r="BL162" s="182"/>
      <c r="BM162" s="182">
        <f>(BL162*$E162*$F162*$G162*$L162*$BM$12)</f>
        <v>0</v>
      </c>
      <c r="BN162" s="182"/>
      <c r="BO162" s="182">
        <f>(BN162*$E162*$F162*$G162*$M162*$BO$12)</f>
        <v>0</v>
      </c>
      <c r="BP162" s="182"/>
      <c r="BQ162" s="182">
        <f>(BP162*$E162*$F162*$G162*$M162*$BQ$12)</f>
        <v>0</v>
      </c>
      <c r="BR162" s="182"/>
      <c r="BS162" s="183">
        <f>(BR162*$E162*$F162*$G162*$M162*$BS$12)</f>
        <v>0</v>
      </c>
      <c r="BT162" s="182"/>
      <c r="BU162" s="182">
        <f>(BT162*$E162*$F162*$G162*$M162*$BU$12)</f>
        <v>0</v>
      </c>
      <c r="BV162" s="182"/>
      <c r="BW162" s="182">
        <f>(BV162*$E162*$F162*$G162*$M162*$BW$12)</f>
        <v>0</v>
      </c>
      <c r="BX162" s="182"/>
      <c r="BY162" s="183">
        <f>(BX162*$E162*$F162*$G162*$M162*$BY$12)</f>
        <v>0</v>
      </c>
      <c r="BZ162" s="182"/>
      <c r="CA162" s="187">
        <f>(BZ162*$E162*$F162*$G162*$M162*$CA$12)</f>
        <v>0</v>
      </c>
      <c r="CB162" s="182"/>
      <c r="CC162" s="182">
        <f>(CB162*$E162*$F162*$G162*$L162*$CC$12)</f>
        <v>0</v>
      </c>
      <c r="CD162" s="182"/>
      <c r="CE162" s="182">
        <f>(CD162*$E162*$F162*$G162*$L162*$CE$12)</f>
        <v>0</v>
      </c>
      <c r="CF162" s="182"/>
      <c r="CG162" s="182">
        <f>(CF162*$E162*$F162*$G162*$L162*$CG$12)</f>
        <v>0</v>
      </c>
      <c r="CH162" s="182"/>
      <c r="CI162" s="182">
        <f t="shared" si="732"/>
        <v>0</v>
      </c>
      <c r="CJ162" s="182"/>
      <c r="CK162" s="182"/>
      <c r="CL162" s="182"/>
      <c r="CM162" s="183">
        <f>(CL162*$E162*$F162*$G162*$L162*$CM$12)</f>
        <v>0</v>
      </c>
      <c r="CN162" s="182"/>
      <c r="CO162" s="183">
        <f>(CN162*$E162*$F162*$G162*$L162*$CO$12)</f>
        <v>0</v>
      </c>
      <c r="CP162" s="182"/>
      <c r="CQ162" s="182">
        <f>(CP162*$E162*$F162*$G162*$L162*$CQ$12)</f>
        <v>0</v>
      </c>
      <c r="CR162" s="182"/>
      <c r="CS162" s="182">
        <f t="shared" ref="CS162" si="736">(CR162*$E162*$F162*$G162*$L162*$CS$12)/12*10+(CR162*$E162*$F162*$G162*$L162*$CS$13)/12*2</f>
        <v>0</v>
      </c>
      <c r="CT162" s="182"/>
      <c r="CU162" s="182">
        <f>(CT162*$E162*$F162*$G162*$L162*$CU$12)</f>
        <v>0</v>
      </c>
      <c r="CV162" s="252"/>
      <c r="CW162" s="182">
        <v>0</v>
      </c>
      <c r="CX162" s="182"/>
      <c r="CY162" s="182">
        <f>(CX162*$E162*$F162*$G162*$M162*$CY$12)</f>
        <v>0</v>
      </c>
      <c r="CZ162" s="182"/>
      <c r="DA162" s="182">
        <v>0</v>
      </c>
      <c r="DB162" s="188"/>
      <c r="DC162" s="182">
        <f>(DB162*$E162*$F162*$G162*$M162*$DC$12)</f>
        <v>0</v>
      </c>
      <c r="DD162" s="182"/>
      <c r="DE162" s="187">
        <f t="shared" si="734"/>
        <v>0</v>
      </c>
      <c r="DF162" s="182"/>
      <c r="DG162" s="182">
        <f>(DF162*$E162*$F162*$G162*$M162*$DG$12)</f>
        <v>0</v>
      </c>
      <c r="DH162" s="189"/>
      <c r="DI162" s="182">
        <f>(DH162*$E162*$F162*$G162*$M162*$DI$12)</f>
        <v>0</v>
      </c>
      <c r="DJ162" s="182"/>
      <c r="DK162" s="182">
        <f>(DJ162*$E162*$F162*$G162*$M162*$DK$12)</f>
        <v>0</v>
      </c>
      <c r="DL162" s="182"/>
      <c r="DM162" s="182">
        <f>(DL162*$E162*$F162*$G162*$N162*$DM$12)</f>
        <v>0</v>
      </c>
      <c r="DN162" s="182"/>
      <c r="DO162" s="190">
        <f>(DN162*$E162*$F162*$G162*$O162*$DO$12)</f>
        <v>0</v>
      </c>
      <c r="DP162" s="187"/>
      <c r="DQ162" s="187"/>
      <c r="DR162" s="183">
        <f t="shared" si="735"/>
        <v>103</v>
      </c>
      <c r="DS162" s="183">
        <f t="shared" si="735"/>
        <v>7496949.0596000003</v>
      </c>
      <c r="DT162" s="182">
        <v>103</v>
      </c>
      <c r="DU162" s="182">
        <v>7496949.0596000003</v>
      </c>
      <c r="DV162" s="167">
        <f t="shared" si="626"/>
        <v>0</v>
      </c>
      <c r="DW162" s="167">
        <f t="shared" si="626"/>
        <v>0</v>
      </c>
    </row>
    <row r="163" spans="1:127" ht="19.5" customHeight="1" x14ac:dyDescent="0.25">
      <c r="A163" s="154"/>
      <c r="B163" s="251">
        <v>130</v>
      </c>
      <c r="C163" s="177" t="s">
        <v>412</v>
      </c>
      <c r="D163" s="210" t="s">
        <v>413</v>
      </c>
      <c r="E163" s="158">
        <v>25969</v>
      </c>
      <c r="F163" s="179">
        <v>1.71</v>
      </c>
      <c r="G163" s="168">
        <v>1</v>
      </c>
      <c r="H163" s="169"/>
      <c r="I163" s="169"/>
      <c r="J163" s="169"/>
      <c r="K163" s="106"/>
      <c r="L163" s="180">
        <v>1.4</v>
      </c>
      <c r="M163" s="180">
        <v>1.68</v>
      </c>
      <c r="N163" s="180">
        <v>2.23</v>
      </c>
      <c r="O163" s="181">
        <v>2.57</v>
      </c>
      <c r="P163" s="182">
        <v>120</v>
      </c>
      <c r="Q163" s="182">
        <f>(P163*$E163*$F163*$G163*$L163*$Q$12)</f>
        <v>8206411.7520000003</v>
      </c>
      <c r="R163" s="182"/>
      <c r="S163" s="182">
        <f>(R163*$E163*$F163*$G163*$L163*$S$12)</f>
        <v>0</v>
      </c>
      <c r="T163" s="182">
        <f>36+16</f>
        <v>52</v>
      </c>
      <c r="U163" s="182">
        <f t="shared" si="726"/>
        <v>4081446.4508999987</v>
      </c>
      <c r="V163" s="182"/>
      <c r="W163" s="183">
        <f t="shared" si="727"/>
        <v>0</v>
      </c>
      <c r="X163" s="183"/>
      <c r="Y163" s="183">
        <v>0</v>
      </c>
      <c r="Z163" s="183"/>
      <c r="AA163" s="183">
        <v>0</v>
      </c>
      <c r="AB163" s="182">
        <f t="shared" si="728"/>
        <v>0</v>
      </c>
      <c r="AC163" s="182">
        <f t="shared" si="728"/>
        <v>0</v>
      </c>
      <c r="AD163" s="182"/>
      <c r="AE163" s="182">
        <f>(AD163*$E163*$F163*$G163*$L163*$AE$12)</f>
        <v>0</v>
      </c>
      <c r="AF163" s="182"/>
      <c r="AG163" s="182"/>
      <c r="AH163" s="182">
        <v>20</v>
      </c>
      <c r="AI163" s="182">
        <f>(AH163*$E163*$F163*$G163*$L163*$AI$12)</f>
        <v>1367735.2919999999</v>
      </c>
      <c r="AJ163" s="182"/>
      <c r="AK163" s="182"/>
      <c r="AL163" s="182"/>
      <c r="AM163" s="182"/>
      <c r="AN163" s="184"/>
      <c r="AO163" s="182">
        <f>(AN163*$E163*$F163*$G163*$L163*$AO$12)</f>
        <v>0</v>
      </c>
      <c r="AP163" s="182">
        <v>5</v>
      </c>
      <c r="AQ163" s="183">
        <f>(AP163*$E163*$F163*$G163*$L163*$AQ$12)</f>
        <v>341933.82299999997</v>
      </c>
      <c r="AR163" s="182"/>
      <c r="AS163" s="182">
        <f t="shared" si="729"/>
        <v>0</v>
      </c>
      <c r="AT163" s="182"/>
      <c r="AU163" s="182">
        <f>(AT163*$E163*$F163*$G163*$M163*$AU$12)</f>
        <v>0</v>
      </c>
      <c r="AV163" s="188"/>
      <c r="AW163" s="182">
        <f>(AV163*$E163*$F163*$G163*$M163*$AW$12)</f>
        <v>0</v>
      </c>
      <c r="AX163" s="182"/>
      <c r="AY163" s="187">
        <f>(AX163*$E163*$F163*$G163*$M163*$AY$12)</f>
        <v>0</v>
      </c>
      <c r="AZ163" s="182"/>
      <c r="BA163" s="182">
        <f>(AZ163*$E163*$F163*$G163*$L163*$BA$12)</f>
        <v>0</v>
      </c>
      <c r="BB163" s="182"/>
      <c r="BC163" s="182">
        <f>(BB163*$E163*$F163*$G163*$L163*$BC$12)</f>
        <v>0</v>
      </c>
      <c r="BD163" s="182"/>
      <c r="BE163" s="182">
        <f>(BD163*$E163*$F163*$G163*$L163*$BE$12)</f>
        <v>0</v>
      </c>
      <c r="BF163" s="182"/>
      <c r="BG163" s="182">
        <f>(BF163*$E163*$F163*$G163*$L163*$BG$12)</f>
        <v>0</v>
      </c>
      <c r="BH163" s="182"/>
      <c r="BI163" s="183">
        <f>(BH163*$E163*$F163*$G163*$L163*$BI$12)</f>
        <v>0</v>
      </c>
      <c r="BJ163" s="182"/>
      <c r="BK163" s="183">
        <f>(BJ163*$E163*$F163*$G163*$L163*$BK$12)</f>
        <v>0</v>
      </c>
      <c r="BL163" s="182"/>
      <c r="BM163" s="182">
        <f>(BL163*$E163*$F163*$G163*$L163*$BM$12)</f>
        <v>0</v>
      </c>
      <c r="BN163" s="182"/>
      <c r="BO163" s="182">
        <f>(BN163*$E163*$F163*$G163*$M163*$BO$12)</f>
        <v>0</v>
      </c>
      <c r="BP163" s="182">
        <v>9</v>
      </c>
      <c r="BQ163" s="182">
        <f>(BP163/12*11*$E163*$F163*$G163*$M163*$BQ$12)+(BP163/12*$E163*$F163*$G163*$M163*$BQ$14*$BQ$15)</f>
        <v>722106.22976566199</v>
      </c>
      <c r="BR163" s="182"/>
      <c r="BS163" s="183">
        <f>(BR163*$E163*$F163*$G163*$M163*$BS$12)</f>
        <v>0</v>
      </c>
      <c r="BT163" s="182"/>
      <c r="BU163" s="182">
        <f>(BT163*$E163*$F163*$G163*$M163*$BU$12)</f>
        <v>0</v>
      </c>
      <c r="BV163" s="182"/>
      <c r="BW163" s="182">
        <f>(BV163*$E163*$F163*$G163*$M163*$BW$12)</f>
        <v>0</v>
      </c>
      <c r="BX163" s="182"/>
      <c r="BY163" s="183">
        <f>(BX163*$E163*$F163*$G163*$M163*$BY$12)</f>
        <v>0</v>
      </c>
      <c r="BZ163" s="182"/>
      <c r="CA163" s="187">
        <f>(BZ163*$E163*$F163*$G163*$M163*$CA$12)</f>
        <v>0</v>
      </c>
      <c r="CB163" s="182"/>
      <c r="CC163" s="182">
        <f>(CB163*$E163*$F163*$G163*$L163*$CC$12)</f>
        <v>0</v>
      </c>
      <c r="CD163" s="182"/>
      <c r="CE163" s="182">
        <f>(CD163*$E163*$F163*$G163*$L163*$CE$12)</f>
        <v>0</v>
      </c>
      <c r="CF163" s="182"/>
      <c r="CG163" s="182">
        <f>(CF163*$E163*$F163*$G163*$L163*$CG$12)</f>
        <v>0</v>
      </c>
      <c r="CH163" s="182">
        <v>2</v>
      </c>
      <c r="CI163" s="182">
        <f t="shared" si="732"/>
        <v>166282.045106184</v>
      </c>
      <c r="CJ163" s="182"/>
      <c r="CK163" s="182"/>
      <c r="CL163" s="182"/>
      <c r="CM163" s="183">
        <f>(CL163*$E163*$F163*$G163*$L163*$CM$12)</f>
        <v>0</v>
      </c>
      <c r="CN163" s="182"/>
      <c r="CO163" s="183">
        <f>(CN163*$E163*$F163*$G163*$L163*$CO$12)</f>
        <v>0</v>
      </c>
      <c r="CP163" s="182"/>
      <c r="CQ163" s="182">
        <f>(CP163*$E163*$F163*$G163*$L163*$CQ$12)</f>
        <v>0</v>
      </c>
      <c r="CR163" s="182">
        <v>2</v>
      </c>
      <c r="CS163" s="182">
        <f t="shared" ref="CS163" si="737">(CR163*$E163*$F163*$G163*$L163*$CS$12)/12*10+(CR163*$E163*$F163*$G163*$L163*$CS$13)/12+(CR163*$E163*$F163*$G163*$L163*$CS$13*$CS$15)/12</f>
        <v>149066.77545101999</v>
      </c>
      <c r="CT163" s="182"/>
      <c r="CU163" s="182">
        <f>(CT163*$E163*$F163*$G163*$L163*$CU$12)</f>
        <v>0</v>
      </c>
      <c r="CV163" s="252">
        <v>4</v>
      </c>
      <c r="CW163" s="182">
        <v>261113.09000000003</v>
      </c>
      <c r="CX163" s="182"/>
      <c r="CY163" s="182">
        <f>(CX163*$E163*$F163*$G163*$M163*$CY$12)</f>
        <v>0</v>
      </c>
      <c r="CZ163" s="182">
        <v>73</v>
      </c>
      <c r="DA163" s="182">
        <v>5259563.6900000088</v>
      </c>
      <c r="DB163" s="188"/>
      <c r="DC163" s="182">
        <f>(DB163*$E163*$F163*$G163*$M163*$DC$12)</f>
        <v>0</v>
      </c>
      <c r="DD163" s="182"/>
      <c r="DE163" s="187">
        <f t="shared" si="734"/>
        <v>0</v>
      </c>
      <c r="DF163" s="182"/>
      <c r="DG163" s="182">
        <f>(DF163*$E163*$F163*$G163*$M163*$DG$12)</f>
        <v>0</v>
      </c>
      <c r="DH163" s="189"/>
      <c r="DI163" s="182">
        <f>(DH163*$E163*$F163*$G163*$M163*$DI$12)</f>
        <v>0</v>
      </c>
      <c r="DJ163" s="182">
        <v>1</v>
      </c>
      <c r="DK163" s="182">
        <f>(DJ163/12*11*$E163*$F163*$G163*$M163*$DK$12)+(DJ163/12*1*$E163*$F163*$M163*$G163*$DK$12*$DK$15)</f>
        <v>81295.077267179979</v>
      </c>
      <c r="DL163" s="182"/>
      <c r="DM163" s="182">
        <f>(DL163*$E163*$F163*$G163*$N163*$DM$12)</f>
        <v>0</v>
      </c>
      <c r="DN163" s="182">
        <f>ROUND(5*0.75,0)</f>
        <v>4</v>
      </c>
      <c r="DO163" s="190">
        <f>(DN163*$E163*$F163*$G163*$O163*$DO$12)</f>
        <v>456503.85719999997</v>
      </c>
      <c r="DP163" s="187"/>
      <c r="DQ163" s="187"/>
      <c r="DR163" s="183">
        <f t="shared" si="735"/>
        <v>292</v>
      </c>
      <c r="DS163" s="183">
        <f t="shared" si="735"/>
        <v>21093458.082690053</v>
      </c>
      <c r="DT163" s="182">
        <v>293</v>
      </c>
      <c r="DU163" s="182">
        <v>21032630.480200011</v>
      </c>
      <c r="DV163" s="167">
        <f t="shared" si="626"/>
        <v>-1</v>
      </c>
      <c r="DW163" s="167">
        <f t="shared" si="626"/>
        <v>60827.602490041405</v>
      </c>
    </row>
    <row r="164" spans="1:127" ht="15.75" customHeight="1" x14ac:dyDescent="0.25">
      <c r="A164" s="170">
        <v>19</v>
      </c>
      <c r="B164" s="211"/>
      <c r="C164" s="157"/>
      <c r="D164" s="211" t="s">
        <v>414</v>
      </c>
      <c r="E164" s="158">
        <v>25969</v>
      </c>
      <c r="F164" s="199">
        <v>4.26</v>
      </c>
      <c r="G164" s="171"/>
      <c r="H164" s="169"/>
      <c r="I164" s="169"/>
      <c r="J164" s="169"/>
      <c r="K164" s="173"/>
      <c r="L164" s="174">
        <v>1.4</v>
      </c>
      <c r="M164" s="174">
        <v>1.68</v>
      </c>
      <c r="N164" s="174">
        <v>2.23</v>
      </c>
      <c r="O164" s="175">
        <v>2.57</v>
      </c>
      <c r="P164" s="166">
        <f t="shared" ref="P164:AY164" si="738">SUM(P165:P243)</f>
        <v>1140</v>
      </c>
      <c r="Q164" s="166">
        <f t="shared" si="738"/>
        <v>226968064.91570294</v>
      </c>
      <c r="R164" s="166">
        <f t="shared" si="738"/>
        <v>37</v>
      </c>
      <c r="S164" s="166">
        <f t="shared" si="738"/>
        <v>5367393.2515165405</v>
      </c>
      <c r="T164" s="166">
        <f t="shared" si="738"/>
        <v>20</v>
      </c>
      <c r="U164" s="166">
        <f t="shared" si="738"/>
        <v>3501267.8281</v>
      </c>
      <c r="V164" s="166">
        <f t="shared" si="738"/>
        <v>0</v>
      </c>
      <c r="W164" s="166">
        <f t="shared" si="738"/>
        <v>0</v>
      </c>
      <c r="X164" s="166">
        <v>7311</v>
      </c>
      <c r="Y164" s="166">
        <v>905060769.26473939</v>
      </c>
      <c r="Z164" s="166">
        <v>256</v>
      </c>
      <c r="AA164" s="166">
        <v>36951080.622827388</v>
      </c>
      <c r="AB164" s="166">
        <f t="shared" si="738"/>
        <v>7567</v>
      </c>
      <c r="AC164" s="166">
        <f t="shared" si="738"/>
        <v>942011849.8875668</v>
      </c>
      <c r="AD164" s="166">
        <f t="shared" si="738"/>
        <v>0</v>
      </c>
      <c r="AE164" s="166">
        <f t="shared" si="738"/>
        <v>0</v>
      </c>
      <c r="AF164" s="166">
        <f t="shared" si="738"/>
        <v>0</v>
      </c>
      <c r="AG164" s="166">
        <f t="shared" si="738"/>
        <v>0</v>
      </c>
      <c r="AH164" s="166">
        <f t="shared" si="738"/>
        <v>102</v>
      </c>
      <c r="AI164" s="166">
        <f t="shared" si="738"/>
        <v>14960704.543399999</v>
      </c>
      <c r="AJ164" s="166">
        <f>SUM(AJ165:AJ243)</f>
        <v>0</v>
      </c>
      <c r="AK164" s="166">
        <f>SUM(AK165:AK243)</f>
        <v>0</v>
      </c>
      <c r="AL164" s="166">
        <f t="shared" si="738"/>
        <v>0</v>
      </c>
      <c r="AM164" s="166">
        <f t="shared" si="738"/>
        <v>0</v>
      </c>
      <c r="AN164" s="166">
        <f t="shared" si="738"/>
        <v>9</v>
      </c>
      <c r="AO164" s="166">
        <f t="shared" si="738"/>
        <v>705063.54379999998</v>
      </c>
      <c r="AP164" s="166">
        <f t="shared" si="738"/>
        <v>97</v>
      </c>
      <c r="AQ164" s="166">
        <f t="shared" si="738"/>
        <v>11185435.199399998</v>
      </c>
      <c r="AR164" s="166">
        <f t="shared" si="738"/>
        <v>0</v>
      </c>
      <c r="AS164" s="166">
        <f t="shared" si="738"/>
        <v>0</v>
      </c>
      <c r="AT164" s="166">
        <f t="shared" si="738"/>
        <v>30</v>
      </c>
      <c r="AU164" s="166">
        <f t="shared" si="738"/>
        <v>633487.59424490388</v>
      </c>
      <c r="AV164" s="166">
        <f>SUM(AV165:AV243)</f>
        <v>3296</v>
      </c>
      <c r="AW164" s="166">
        <f t="shared" si="738"/>
        <v>469214972.38999891</v>
      </c>
      <c r="AX164" s="166">
        <f t="shared" si="738"/>
        <v>0</v>
      </c>
      <c r="AY164" s="166">
        <f t="shared" si="738"/>
        <v>0</v>
      </c>
      <c r="AZ164" s="166">
        <f t="shared" ref="AZ164:DK164" si="739">SUM(AZ165:AZ243)</f>
        <v>0</v>
      </c>
      <c r="BA164" s="166">
        <f t="shared" si="739"/>
        <v>0</v>
      </c>
      <c r="BB164" s="166">
        <f t="shared" si="739"/>
        <v>0</v>
      </c>
      <c r="BC164" s="166">
        <f t="shared" si="739"/>
        <v>0</v>
      </c>
      <c r="BD164" s="166">
        <f t="shared" si="739"/>
        <v>0</v>
      </c>
      <c r="BE164" s="166">
        <f t="shared" si="739"/>
        <v>0</v>
      </c>
      <c r="BF164" s="166">
        <f t="shared" si="739"/>
        <v>0</v>
      </c>
      <c r="BG164" s="166">
        <f t="shared" si="739"/>
        <v>0</v>
      </c>
      <c r="BH164" s="166">
        <f t="shared" si="739"/>
        <v>0</v>
      </c>
      <c r="BI164" s="166">
        <f t="shared" si="739"/>
        <v>0</v>
      </c>
      <c r="BJ164" s="166">
        <f t="shared" si="739"/>
        <v>0</v>
      </c>
      <c r="BK164" s="166">
        <f t="shared" si="739"/>
        <v>0</v>
      </c>
      <c r="BL164" s="166">
        <f t="shared" si="739"/>
        <v>0</v>
      </c>
      <c r="BM164" s="166">
        <f t="shared" si="739"/>
        <v>0</v>
      </c>
      <c r="BN164" s="166">
        <f t="shared" si="739"/>
        <v>0</v>
      </c>
      <c r="BO164" s="166">
        <f t="shared" si="739"/>
        <v>0</v>
      </c>
      <c r="BP164" s="166">
        <f t="shared" si="739"/>
        <v>0</v>
      </c>
      <c r="BQ164" s="166">
        <f t="shared" si="739"/>
        <v>0</v>
      </c>
      <c r="BR164" s="166">
        <f t="shared" si="739"/>
        <v>0</v>
      </c>
      <c r="BS164" s="166">
        <f t="shared" si="739"/>
        <v>0</v>
      </c>
      <c r="BT164" s="166">
        <f t="shared" si="739"/>
        <v>0</v>
      </c>
      <c r="BU164" s="166">
        <f t="shared" si="739"/>
        <v>0</v>
      </c>
      <c r="BV164" s="166">
        <f t="shared" si="739"/>
        <v>0</v>
      </c>
      <c r="BW164" s="166">
        <f t="shared" si="739"/>
        <v>0</v>
      </c>
      <c r="BX164" s="166">
        <f t="shared" si="739"/>
        <v>0</v>
      </c>
      <c r="BY164" s="166">
        <f t="shared" si="739"/>
        <v>0</v>
      </c>
      <c r="BZ164" s="166">
        <f t="shared" si="739"/>
        <v>0</v>
      </c>
      <c r="CA164" s="166">
        <f t="shared" si="739"/>
        <v>0</v>
      </c>
      <c r="CB164" s="166">
        <f t="shared" si="739"/>
        <v>0</v>
      </c>
      <c r="CC164" s="166">
        <f t="shared" si="739"/>
        <v>0</v>
      </c>
      <c r="CD164" s="166">
        <f t="shared" si="739"/>
        <v>0</v>
      </c>
      <c r="CE164" s="166">
        <f t="shared" si="739"/>
        <v>0</v>
      </c>
      <c r="CF164" s="166">
        <f t="shared" si="739"/>
        <v>0</v>
      </c>
      <c r="CG164" s="166">
        <f t="shared" si="739"/>
        <v>0</v>
      </c>
      <c r="CH164" s="166">
        <f t="shared" si="739"/>
        <v>0</v>
      </c>
      <c r="CI164" s="166">
        <f t="shared" si="739"/>
        <v>0</v>
      </c>
      <c r="CJ164" s="166">
        <f t="shared" si="739"/>
        <v>0</v>
      </c>
      <c r="CK164" s="166">
        <f t="shared" si="739"/>
        <v>0</v>
      </c>
      <c r="CL164" s="166">
        <f t="shared" si="739"/>
        <v>0</v>
      </c>
      <c r="CM164" s="166">
        <f t="shared" si="739"/>
        <v>0</v>
      </c>
      <c r="CN164" s="166">
        <f t="shared" si="739"/>
        <v>0</v>
      </c>
      <c r="CO164" s="166">
        <f t="shared" si="739"/>
        <v>0</v>
      </c>
      <c r="CP164" s="166">
        <f t="shared" si="739"/>
        <v>0</v>
      </c>
      <c r="CQ164" s="166">
        <f t="shared" si="739"/>
        <v>0</v>
      </c>
      <c r="CR164" s="166">
        <f t="shared" si="739"/>
        <v>4</v>
      </c>
      <c r="CS164" s="166">
        <f t="shared" si="739"/>
        <v>531758.67266153323</v>
      </c>
      <c r="CT164" s="166">
        <f t="shared" si="739"/>
        <v>0</v>
      </c>
      <c r="CU164" s="166">
        <f t="shared" si="739"/>
        <v>0</v>
      </c>
      <c r="CV164" s="166">
        <f t="shared" si="739"/>
        <v>14</v>
      </c>
      <c r="CW164" s="166">
        <v>1617287.02</v>
      </c>
      <c r="CX164" s="166">
        <f t="shared" si="739"/>
        <v>0</v>
      </c>
      <c r="CY164" s="166">
        <f t="shared" si="739"/>
        <v>0</v>
      </c>
      <c r="CZ164" s="166">
        <f t="shared" si="739"/>
        <v>0</v>
      </c>
      <c r="DA164" s="166">
        <v>0</v>
      </c>
      <c r="DB164" s="166">
        <f t="shared" si="739"/>
        <v>0</v>
      </c>
      <c r="DC164" s="166">
        <f t="shared" si="739"/>
        <v>0</v>
      </c>
      <c r="DD164" s="166">
        <f t="shared" si="739"/>
        <v>0</v>
      </c>
      <c r="DE164" s="166">
        <f t="shared" si="739"/>
        <v>0</v>
      </c>
      <c r="DF164" s="166">
        <f t="shared" si="739"/>
        <v>0</v>
      </c>
      <c r="DG164" s="166">
        <f t="shared" si="739"/>
        <v>0</v>
      </c>
      <c r="DH164" s="166">
        <f t="shared" si="739"/>
        <v>0</v>
      </c>
      <c r="DI164" s="166">
        <f t="shared" si="739"/>
        <v>0</v>
      </c>
      <c r="DJ164" s="166">
        <f t="shared" si="739"/>
        <v>0</v>
      </c>
      <c r="DK164" s="166">
        <f t="shared" si="739"/>
        <v>0</v>
      </c>
      <c r="DL164" s="166">
        <f t="shared" ref="DL164:ER164" si="740">SUM(DL165:DL243)</f>
        <v>0</v>
      </c>
      <c r="DM164" s="166">
        <f t="shared" si="740"/>
        <v>0</v>
      </c>
      <c r="DN164" s="166">
        <f t="shared" si="740"/>
        <v>0</v>
      </c>
      <c r="DO164" s="166">
        <f t="shared" si="740"/>
        <v>0</v>
      </c>
      <c r="DP164" s="166">
        <f t="shared" si="740"/>
        <v>0</v>
      </c>
      <c r="DQ164" s="166">
        <f t="shared" si="740"/>
        <v>0</v>
      </c>
      <c r="DR164" s="166">
        <f t="shared" si="740"/>
        <v>12316</v>
      </c>
      <c r="DS164" s="166">
        <f t="shared" si="740"/>
        <v>1676697284.8463914</v>
      </c>
      <c r="DT164" s="166">
        <v>11807</v>
      </c>
      <c r="DU164" s="166">
        <v>1605397295.020304</v>
      </c>
      <c r="DV164" s="167">
        <f t="shared" si="626"/>
        <v>509</v>
      </c>
      <c r="DW164" s="167">
        <f t="shared" si="626"/>
        <v>71299989.826087475</v>
      </c>
    </row>
    <row r="165" spans="1:127" ht="30" customHeight="1" x14ac:dyDescent="0.25">
      <c r="A165" s="154"/>
      <c r="B165" s="176">
        <v>131</v>
      </c>
      <c r="C165" s="177" t="s">
        <v>415</v>
      </c>
      <c r="D165" s="210" t="s">
        <v>416</v>
      </c>
      <c r="E165" s="158">
        <v>25969</v>
      </c>
      <c r="F165" s="180">
        <v>2.41</v>
      </c>
      <c r="G165" s="168">
        <v>1</v>
      </c>
      <c r="H165" s="169"/>
      <c r="I165" s="169"/>
      <c r="J165" s="169"/>
      <c r="K165" s="106"/>
      <c r="L165" s="180">
        <v>1.4</v>
      </c>
      <c r="M165" s="180">
        <v>1.68</v>
      </c>
      <c r="N165" s="180">
        <v>2.23</v>
      </c>
      <c r="O165" s="181">
        <v>2.57</v>
      </c>
      <c r="P165" s="182">
        <v>9</v>
      </c>
      <c r="Q165" s="182">
        <f t="shared" ref="Q165:Q190" si="741">(P165*$E165*$F165*$G165*$L165*$Q$12)</f>
        <v>867432.11940000008</v>
      </c>
      <c r="R165" s="182"/>
      <c r="S165" s="182">
        <f t="shared" ref="S165:S202" si="742">(R165*$E165*$F165*$G165*$L165*$S$12)</f>
        <v>0</v>
      </c>
      <c r="T165" s="182"/>
      <c r="U165" s="182">
        <f t="shared" ref="U165:U190" si="743">(T165/12*11*$E165*$F165*$G165*$L165*$U$12)+(T165/12*1*$E165*$F165*$G165*$L165*$U$14)</f>
        <v>0</v>
      </c>
      <c r="V165" s="182"/>
      <c r="W165" s="183">
        <f t="shared" ref="W165:W190" si="744">(V165*$E165*$F165*$G165*$L165*$W$12)/12*10+(V165*$E165*$F165*$G165*$L165*$W$13)/12*1++(V165*$E165*$F165*$G165*$L165*$W$14)/12*1</f>
        <v>0</v>
      </c>
      <c r="X165" s="183">
        <v>24</v>
      </c>
      <c r="Y165" s="183">
        <v>2944012.0415999996</v>
      </c>
      <c r="Z165" s="183"/>
      <c r="AA165" s="183">
        <v>0</v>
      </c>
      <c r="AB165" s="182">
        <f t="shared" ref="AB165:AC200" si="745">X165+Z165</f>
        <v>24</v>
      </c>
      <c r="AC165" s="182">
        <f t="shared" si="745"/>
        <v>2944012.0415999996</v>
      </c>
      <c r="AD165" s="182"/>
      <c r="AE165" s="182">
        <f t="shared" ref="AE165:AE190" si="746">(AD165*$E165*$F165*$G165*$L165*$AE$12)</f>
        <v>0</v>
      </c>
      <c r="AF165" s="182"/>
      <c r="AG165" s="182"/>
      <c r="AH165" s="182"/>
      <c r="AI165" s="182">
        <f t="shared" ref="AI165:AI190" si="747">(AH165*$E165*$F165*$G165*$L165*$AI$12)</f>
        <v>0</v>
      </c>
      <c r="AJ165" s="182"/>
      <c r="AK165" s="182"/>
      <c r="AL165" s="182"/>
      <c r="AM165" s="182"/>
      <c r="AN165" s="205"/>
      <c r="AO165" s="182">
        <f t="shared" ref="AO165:AO190" si="748">(AN165*$E165*$F165*$G165*$L165*$AO$12)</f>
        <v>0</v>
      </c>
      <c r="AP165" s="182">
        <v>1</v>
      </c>
      <c r="AQ165" s="183">
        <f t="shared" ref="AQ165:AQ202" si="749">(AP165*$E165*$F165*$G165*$L165*$AQ$12)</f>
        <v>96381.346600000004</v>
      </c>
      <c r="AR165" s="182"/>
      <c r="AS165" s="182">
        <f t="shared" ref="AS165:AS190" si="750">(AR165*$E165*$F165*$G165*$L165*$AS$12)/12*10+(AR165*$E165*$F165*$G165*$L165*$AS$13)/12*1+(AR165*$E165*$F165*$G165*$L165*$AS$14)/12*1</f>
        <v>0</v>
      </c>
      <c r="AT165" s="182"/>
      <c r="AU165" s="182">
        <f t="shared" ref="AU165:AU202" si="751">(AT165*$E165*$F165*$G165*$M165*$AU$12)</f>
        <v>0</v>
      </c>
      <c r="AV165" s="188">
        <v>5</v>
      </c>
      <c r="AW165" s="182">
        <v>736003</v>
      </c>
      <c r="AX165" s="182"/>
      <c r="AY165" s="187">
        <f t="shared" ref="AY165:AY190" si="752">(AX165*$E165*$F165*$G165*$M165*$AY$12)</f>
        <v>0</v>
      </c>
      <c r="AZ165" s="182"/>
      <c r="BA165" s="182">
        <f t="shared" ref="BA165:BA190" si="753">(AZ165*$E165*$F165*$G165*$L165*$BA$12)</f>
        <v>0</v>
      </c>
      <c r="BB165" s="182">
        <v>0</v>
      </c>
      <c r="BC165" s="182">
        <f t="shared" ref="BC165:BC190" si="754">(BB165*$E165*$F165*$G165*$L165*$BC$12)</f>
        <v>0</v>
      </c>
      <c r="BD165" s="182"/>
      <c r="BE165" s="182">
        <f t="shared" ref="BE165:BE202" si="755">(BD165*$E165*$F165*$G165*$L165*$BE$12)</f>
        <v>0</v>
      </c>
      <c r="BF165" s="182"/>
      <c r="BG165" s="182">
        <f t="shared" ref="BG165:BG202" si="756">(BF165*$E165*$F165*$G165*$L165*$BG$12)</f>
        <v>0</v>
      </c>
      <c r="BH165" s="182"/>
      <c r="BI165" s="183">
        <f t="shared" ref="BI165:BI202" si="757">(BH165*$E165*$F165*$G165*$L165*$BI$12)</f>
        <v>0</v>
      </c>
      <c r="BJ165" s="182"/>
      <c r="BK165" s="183">
        <f t="shared" ref="BK165:BK202" si="758">(BJ165*$E165*$F165*$G165*$L165*$BK$12)</f>
        <v>0</v>
      </c>
      <c r="BL165" s="182"/>
      <c r="BM165" s="182">
        <f t="shared" ref="BM165:BM202" si="759">(BL165*$E165*$F165*$G165*$L165*$BM$12)</f>
        <v>0</v>
      </c>
      <c r="BN165" s="182"/>
      <c r="BO165" s="182">
        <f t="shared" ref="BO165:BO202" si="760">(BN165*$E165*$F165*$G165*$M165*$BO$12)</f>
        <v>0</v>
      </c>
      <c r="BP165" s="182"/>
      <c r="BQ165" s="182">
        <f t="shared" ref="BQ165:BQ202" si="761">(BP165*$E165*$F165*$G165*$M165*$BQ$12)</f>
        <v>0</v>
      </c>
      <c r="BR165" s="182"/>
      <c r="BS165" s="183">
        <f t="shared" ref="BS165:BS202" si="762">(BR165*$E165*$F165*$G165*$M165*$BS$12)</f>
        <v>0</v>
      </c>
      <c r="BT165" s="182"/>
      <c r="BU165" s="182">
        <f t="shared" ref="BU165:BU202" si="763">(BT165*$E165*$F165*$G165*$M165*$BU$12)</f>
        <v>0</v>
      </c>
      <c r="BV165" s="182"/>
      <c r="BW165" s="182">
        <f t="shared" ref="BW165:BW202" si="764">(BV165*$E165*$F165*$G165*$M165*$BW$12)</f>
        <v>0</v>
      </c>
      <c r="BX165" s="182"/>
      <c r="BY165" s="183">
        <f t="shared" ref="BY165:BY202" si="765">(BX165*$E165*$F165*$G165*$M165*$BY$12)</f>
        <v>0</v>
      </c>
      <c r="BZ165" s="182"/>
      <c r="CA165" s="187">
        <f t="shared" ref="CA165:CA202" si="766">(BZ165*$E165*$F165*$G165*$M165*$CA$12)</f>
        <v>0</v>
      </c>
      <c r="CB165" s="182"/>
      <c r="CC165" s="182">
        <f t="shared" ref="CC165:CC202" si="767">(CB165*$E165*$F165*$G165*$L165*$CC$12)</f>
        <v>0</v>
      </c>
      <c r="CD165" s="182"/>
      <c r="CE165" s="182">
        <f t="shared" ref="CE165:CE202" si="768">(CD165*$E165*$F165*$G165*$L165*$CE$12)</f>
        <v>0</v>
      </c>
      <c r="CF165" s="182"/>
      <c r="CG165" s="182">
        <f t="shared" ref="CG165:CG202" si="769">(CF165*$E165*$F165*$G165*$L165*$CG$12)</f>
        <v>0</v>
      </c>
      <c r="CH165" s="182"/>
      <c r="CI165" s="182">
        <f t="shared" ref="CI165:CI202" si="770">(CH165*$E165*$F165*$G165*$M165*$CI$12)</f>
        <v>0</v>
      </c>
      <c r="CJ165" s="182"/>
      <c r="CK165" s="182"/>
      <c r="CL165" s="182"/>
      <c r="CM165" s="183">
        <f t="shared" ref="CM165:CM202" si="771">(CL165*$E165*$F165*$G165*$L165*$CM$12)</f>
        <v>0</v>
      </c>
      <c r="CN165" s="182"/>
      <c r="CO165" s="183">
        <f t="shared" ref="CO165:CO202" si="772">(CN165*$E165*$F165*$G165*$L165*$CO$12)</f>
        <v>0</v>
      </c>
      <c r="CP165" s="182"/>
      <c r="CQ165" s="182">
        <f t="shared" ref="CQ165:CQ202" si="773">(CP165*$E165*$F165*$G165*$L165*$CQ$12)</f>
        <v>0</v>
      </c>
      <c r="CR165" s="182"/>
      <c r="CS165" s="182">
        <f t="shared" ref="CS165:CS202" si="774">(CR165*$E165*$F165*$G165*$L165*$CS$12)</f>
        <v>0</v>
      </c>
      <c r="CT165" s="182"/>
      <c r="CU165" s="182">
        <f t="shared" ref="CU165:CU202" si="775">(CT165*$E165*$F165*$G165*$L165*$CU$12)</f>
        <v>0</v>
      </c>
      <c r="CV165" s="182"/>
      <c r="CW165" s="182">
        <v>0</v>
      </c>
      <c r="CX165" s="182"/>
      <c r="CY165" s="182">
        <f t="shared" ref="CY165:CY202" si="776">(CX165*$E165*$F165*$G165*$M165*$CY$12)</f>
        <v>0</v>
      </c>
      <c r="CZ165" s="182"/>
      <c r="DA165" s="182">
        <v>0</v>
      </c>
      <c r="DB165" s="188"/>
      <c r="DC165" s="182">
        <f t="shared" ref="DC165:DC202" si="777">(DB165*$E165*$F165*$G165*$M165*$DC$12)</f>
        <v>0</v>
      </c>
      <c r="DD165" s="182"/>
      <c r="DE165" s="187">
        <f t="shared" ref="DE165:DE190" si="778">(DD165*$E165*$F165*$G165*$M165*DE$12)</f>
        <v>0</v>
      </c>
      <c r="DF165" s="182"/>
      <c r="DG165" s="182">
        <f t="shared" ref="DG165:DG202" si="779">(DF165*$E165*$F165*$G165*$M165*$DG$12)</f>
        <v>0</v>
      </c>
      <c r="DH165" s="189"/>
      <c r="DI165" s="182">
        <f t="shared" ref="DI165:DI202" si="780">(DH165*$E165*$F165*$G165*$M165*$DI$12)</f>
        <v>0</v>
      </c>
      <c r="DJ165" s="182"/>
      <c r="DK165" s="182">
        <f t="shared" ref="DK165:DK202" si="781">(DJ165*$E165*$F165*$G165*$M165*$DK$12)</f>
        <v>0</v>
      </c>
      <c r="DL165" s="182"/>
      <c r="DM165" s="182">
        <f t="shared" ref="DM165:DM202" si="782">(DL165*$E165*$F165*$G165*$N165*$DM$12)</f>
        <v>0</v>
      </c>
      <c r="DN165" s="182"/>
      <c r="DO165" s="190">
        <f t="shared" ref="DO165:DO202" si="783">(DN165*$E165*$F165*$G165*$O165*$DO$12)</f>
        <v>0</v>
      </c>
      <c r="DP165" s="187"/>
      <c r="DQ165" s="187"/>
      <c r="DR165" s="183">
        <f t="shared" ref="DR165:DS196" si="784">SUM(P165,R165,T165,V165,AB165,AJ165,AD165,AF165,AH165,AL165,AN165,AP165,AV165,AZ165,BB165,CF165,AR165,BF165,BH165,BJ165,CT165,BL165,BN165,AT165,BR165,AX165,CV165,BT165,CX165,BV165,BX165,BZ165,CH165,CB165,CD165,CJ165,CL165,CN165,CP165,CR165,CZ165,DB165,BP165,BD165,DD165,DF165,DH165,DJ165,DL165,DN165,DP165)</f>
        <v>39</v>
      </c>
      <c r="DS165" s="183">
        <f t="shared" si="784"/>
        <v>4643828.5076000001</v>
      </c>
      <c r="DT165" s="182">
        <v>34</v>
      </c>
      <c r="DU165" s="182">
        <v>3907825.5075999997</v>
      </c>
      <c r="DV165" s="167">
        <f t="shared" si="626"/>
        <v>5</v>
      </c>
      <c r="DW165" s="167">
        <f t="shared" si="626"/>
        <v>736003.00000000047</v>
      </c>
    </row>
    <row r="166" spans="1:127" ht="30" customHeight="1" x14ac:dyDescent="0.25">
      <c r="A166" s="154"/>
      <c r="B166" s="176">
        <v>132</v>
      </c>
      <c r="C166" s="177" t="s">
        <v>417</v>
      </c>
      <c r="D166" s="210" t="s">
        <v>418</v>
      </c>
      <c r="E166" s="158">
        <v>25969</v>
      </c>
      <c r="F166" s="180">
        <v>4.0199999999999996</v>
      </c>
      <c r="G166" s="168">
        <v>1</v>
      </c>
      <c r="H166" s="169"/>
      <c r="I166" s="169"/>
      <c r="J166" s="169"/>
      <c r="K166" s="106"/>
      <c r="L166" s="180">
        <v>1.4</v>
      </c>
      <c r="M166" s="180">
        <v>1.68</v>
      </c>
      <c r="N166" s="180">
        <v>2.23</v>
      </c>
      <c r="O166" s="181">
        <v>2.57</v>
      </c>
      <c r="P166" s="182">
        <v>7</v>
      </c>
      <c r="Q166" s="182">
        <f t="shared" si="741"/>
        <v>1125382.1963999998</v>
      </c>
      <c r="R166" s="182"/>
      <c r="S166" s="182">
        <f t="shared" si="742"/>
        <v>0</v>
      </c>
      <c r="T166" s="182"/>
      <c r="U166" s="182">
        <f t="shared" si="743"/>
        <v>0</v>
      </c>
      <c r="V166" s="182"/>
      <c r="W166" s="183">
        <f t="shared" si="744"/>
        <v>0</v>
      </c>
      <c r="X166" s="183">
        <v>161</v>
      </c>
      <c r="Y166" s="183">
        <v>32943006.112799995</v>
      </c>
      <c r="Z166" s="183">
        <v>2</v>
      </c>
      <c r="AA166" s="183">
        <v>491075.86751999991</v>
      </c>
      <c r="AB166" s="182">
        <f t="shared" si="745"/>
        <v>163</v>
      </c>
      <c r="AC166" s="182">
        <f t="shared" si="745"/>
        <v>33434081.980319995</v>
      </c>
      <c r="AD166" s="182"/>
      <c r="AE166" s="182">
        <f t="shared" si="746"/>
        <v>0</v>
      </c>
      <c r="AF166" s="182"/>
      <c r="AG166" s="182"/>
      <c r="AH166" s="182"/>
      <c r="AI166" s="182">
        <f t="shared" si="747"/>
        <v>0</v>
      </c>
      <c r="AJ166" s="182"/>
      <c r="AK166" s="182"/>
      <c r="AL166" s="182"/>
      <c r="AM166" s="182"/>
      <c r="AN166" s="205"/>
      <c r="AO166" s="182">
        <f t="shared" si="748"/>
        <v>0</v>
      </c>
      <c r="AP166" s="182">
        <f>10-5</f>
        <v>5</v>
      </c>
      <c r="AQ166" s="183">
        <f t="shared" si="749"/>
        <v>803844.42599999998</v>
      </c>
      <c r="AR166" s="182"/>
      <c r="AS166" s="182">
        <f t="shared" si="750"/>
        <v>0</v>
      </c>
      <c r="AT166" s="182"/>
      <c r="AU166" s="182">
        <f t="shared" si="751"/>
        <v>0</v>
      </c>
      <c r="AV166" s="188">
        <v>17</v>
      </c>
      <c r="AW166" s="182">
        <v>4149591.0200000009</v>
      </c>
      <c r="AX166" s="182"/>
      <c r="AY166" s="187">
        <f t="shared" si="752"/>
        <v>0</v>
      </c>
      <c r="AZ166" s="182"/>
      <c r="BA166" s="182">
        <f t="shared" si="753"/>
        <v>0</v>
      </c>
      <c r="BB166" s="182"/>
      <c r="BC166" s="182">
        <f t="shared" si="754"/>
        <v>0</v>
      </c>
      <c r="BD166" s="182"/>
      <c r="BE166" s="182">
        <f t="shared" si="755"/>
        <v>0</v>
      </c>
      <c r="BF166" s="182"/>
      <c r="BG166" s="182">
        <f t="shared" si="756"/>
        <v>0</v>
      </c>
      <c r="BH166" s="182"/>
      <c r="BI166" s="183">
        <f t="shared" si="757"/>
        <v>0</v>
      </c>
      <c r="BJ166" s="182"/>
      <c r="BK166" s="183">
        <f t="shared" si="758"/>
        <v>0</v>
      </c>
      <c r="BL166" s="182"/>
      <c r="BM166" s="182">
        <f t="shared" si="759"/>
        <v>0</v>
      </c>
      <c r="BN166" s="182"/>
      <c r="BO166" s="182">
        <f t="shared" si="760"/>
        <v>0</v>
      </c>
      <c r="BP166" s="182"/>
      <c r="BQ166" s="182">
        <f t="shared" si="761"/>
        <v>0</v>
      </c>
      <c r="BR166" s="182"/>
      <c r="BS166" s="183">
        <f t="shared" si="762"/>
        <v>0</v>
      </c>
      <c r="BT166" s="182"/>
      <c r="BU166" s="182">
        <f t="shared" si="763"/>
        <v>0</v>
      </c>
      <c r="BV166" s="182"/>
      <c r="BW166" s="182">
        <f t="shared" si="764"/>
        <v>0</v>
      </c>
      <c r="BX166" s="182"/>
      <c r="BY166" s="183">
        <f t="shared" si="765"/>
        <v>0</v>
      </c>
      <c r="BZ166" s="182"/>
      <c r="CA166" s="187">
        <f t="shared" si="766"/>
        <v>0</v>
      </c>
      <c r="CB166" s="182"/>
      <c r="CC166" s="182">
        <f t="shared" si="767"/>
        <v>0</v>
      </c>
      <c r="CD166" s="182"/>
      <c r="CE166" s="182">
        <f t="shared" si="768"/>
        <v>0</v>
      </c>
      <c r="CF166" s="182"/>
      <c r="CG166" s="182">
        <f t="shared" si="769"/>
        <v>0</v>
      </c>
      <c r="CH166" s="182"/>
      <c r="CI166" s="182">
        <f t="shared" si="770"/>
        <v>0</v>
      </c>
      <c r="CJ166" s="182"/>
      <c r="CK166" s="182"/>
      <c r="CL166" s="182"/>
      <c r="CM166" s="183">
        <f t="shared" si="771"/>
        <v>0</v>
      </c>
      <c r="CN166" s="182"/>
      <c r="CO166" s="183">
        <f t="shared" si="772"/>
        <v>0</v>
      </c>
      <c r="CP166" s="182"/>
      <c r="CQ166" s="182">
        <f t="shared" si="773"/>
        <v>0</v>
      </c>
      <c r="CR166" s="182"/>
      <c r="CS166" s="182">
        <f t="shared" si="774"/>
        <v>0</v>
      </c>
      <c r="CT166" s="182"/>
      <c r="CU166" s="182">
        <f t="shared" si="775"/>
        <v>0</v>
      </c>
      <c r="CV166" s="182"/>
      <c r="CW166" s="182">
        <v>0</v>
      </c>
      <c r="CX166" s="182"/>
      <c r="CY166" s="182">
        <f t="shared" si="776"/>
        <v>0</v>
      </c>
      <c r="CZ166" s="182"/>
      <c r="DA166" s="182">
        <v>0</v>
      </c>
      <c r="DB166" s="188"/>
      <c r="DC166" s="182">
        <f t="shared" si="777"/>
        <v>0</v>
      </c>
      <c r="DD166" s="182"/>
      <c r="DE166" s="187">
        <f t="shared" si="778"/>
        <v>0</v>
      </c>
      <c r="DF166" s="182"/>
      <c r="DG166" s="182">
        <f t="shared" si="779"/>
        <v>0</v>
      </c>
      <c r="DH166" s="189"/>
      <c r="DI166" s="182">
        <f t="shared" si="780"/>
        <v>0</v>
      </c>
      <c r="DJ166" s="182"/>
      <c r="DK166" s="182">
        <f t="shared" si="781"/>
        <v>0</v>
      </c>
      <c r="DL166" s="182"/>
      <c r="DM166" s="182">
        <f t="shared" si="782"/>
        <v>0</v>
      </c>
      <c r="DN166" s="182"/>
      <c r="DO166" s="190">
        <f t="shared" si="783"/>
        <v>0</v>
      </c>
      <c r="DP166" s="187"/>
      <c r="DQ166" s="187"/>
      <c r="DR166" s="183">
        <f t="shared" si="784"/>
        <v>192</v>
      </c>
      <c r="DS166" s="183">
        <f t="shared" si="784"/>
        <v>39512899.622719996</v>
      </c>
      <c r="DT166" s="182">
        <v>197</v>
      </c>
      <c r="DU166" s="182">
        <v>40765143.145439997</v>
      </c>
      <c r="DV166" s="167">
        <f t="shared" si="626"/>
        <v>-5</v>
      </c>
      <c r="DW166" s="167">
        <f t="shared" si="626"/>
        <v>-1252243.5227200016</v>
      </c>
    </row>
    <row r="167" spans="1:127" ht="30" customHeight="1" x14ac:dyDescent="0.25">
      <c r="A167" s="154"/>
      <c r="B167" s="176">
        <v>133</v>
      </c>
      <c r="C167" s="177" t="s">
        <v>419</v>
      </c>
      <c r="D167" s="210" t="s">
        <v>420</v>
      </c>
      <c r="E167" s="158">
        <v>25969</v>
      </c>
      <c r="F167" s="180">
        <v>4.8899999999999997</v>
      </c>
      <c r="G167" s="168">
        <v>1</v>
      </c>
      <c r="H167" s="169"/>
      <c r="I167" s="169"/>
      <c r="J167" s="169"/>
      <c r="K167" s="106"/>
      <c r="L167" s="180">
        <v>1.4</v>
      </c>
      <c r="M167" s="180">
        <v>1.68</v>
      </c>
      <c r="N167" s="180">
        <v>2.23</v>
      </c>
      <c r="O167" s="181">
        <v>2.57</v>
      </c>
      <c r="P167" s="182">
        <v>0</v>
      </c>
      <c r="Q167" s="182">
        <f t="shared" si="741"/>
        <v>0</v>
      </c>
      <c r="R167" s="182"/>
      <c r="S167" s="182">
        <f t="shared" si="742"/>
        <v>0</v>
      </c>
      <c r="T167" s="182"/>
      <c r="U167" s="182">
        <f t="shared" si="743"/>
        <v>0</v>
      </c>
      <c r="V167" s="182"/>
      <c r="W167" s="183">
        <f t="shared" si="744"/>
        <v>0</v>
      </c>
      <c r="X167" s="183">
        <v>128</v>
      </c>
      <c r="Y167" s="183">
        <v>31858852.300799992</v>
      </c>
      <c r="Z167" s="183">
        <v>0</v>
      </c>
      <c r="AA167" s="183">
        <v>0</v>
      </c>
      <c r="AB167" s="182">
        <f t="shared" si="745"/>
        <v>128</v>
      </c>
      <c r="AC167" s="182">
        <f t="shared" si="745"/>
        <v>31858852.300799992</v>
      </c>
      <c r="AD167" s="182"/>
      <c r="AE167" s="182">
        <f t="shared" si="746"/>
        <v>0</v>
      </c>
      <c r="AF167" s="182"/>
      <c r="AG167" s="182"/>
      <c r="AH167" s="182"/>
      <c r="AI167" s="182">
        <f t="shared" si="747"/>
        <v>0</v>
      </c>
      <c r="AJ167" s="182"/>
      <c r="AK167" s="182"/>
      <c r="AL167" s="182"/>
      <c r="AM167" s="182"/>
      <c r="AN167" s="205"/>
      <c r="AO167" s="182">
        <f t="shared" si="748"/>
        <v>0</v>
      </c>
      <c r="AP167" s="182"/>
      <c r="AQ167" s="183">
        <f t="shared" si="749"/>
        <v>0</v>
      </c>
      <c r="AR167" s="182"/>
      <c r="AS167" s="182">
        <f t="shared" si="750"/>
        <v>0</v>
      </c>
      <c r="AT167" s="182"/>
      <c r="AU167" s="182">
        <f t="shared" si="751"/>
        <v>0</v>
      </c>
      <c r="AV167" s="186">
        <v>5</v>
      </c>
      <c r="AW167" s="182">
        <v>1493383.7</v>
      </c>
      <c r="AX167" s="182"/>
      <c r="AY167" s="187">
        <f t="shared" si="752"/>
        <v>0</v>
      </c>
      <c r="AZ167" s="182"/>
      <c r="BA167" s="182">
        <f t="shared" si="753"/>
        <v>0</v>
      </c>
      <c r="BB167" s="182"/>
      <c r="BC167" s="182">
        <f t="shared" si="754"/>
        <v>0</v>
      </c>
      <c r="BD167" s="182"/>
      <c r="BE167" s="182">
        <f t="shared" si="755"/>
        <v>0</v>
      </c>
      <c r="BF167" s="182"/>
      <c r="BG167" s="182">
        <f t="shared" si="756"/>
        <v>0</v>
      </c>
      <c r="BH167" s="182"/>
      <c r="BI167" s="183">
        <f t="shared" si="757"/>
        <v>0</v>
      </c>
      <c r="BJ167" s="182"/>
      <c r="BK167" s="183">
        <f t="shared" si="758"/>
        <v>0</v>
      </c>
      <c r="BL167" s="182"/>
      <c r="BM167" s="182">
        <f t="shared" si="759"/>
        <v>0</v>
      </c>
      <c r="BN167" s="182"/>
      <c r="BO167" s="182">
        <f t="shared" si="760"/>
        <v>0</v>
      </c>
      <c r="BP167" s="182"/>
      <c r="BQ167" s="182">
        <f t="shared" si="761"/>
        <v>0</v>
      </c>
      <c r="BR167" s="182"/>
      <c r="BS167" s="183">
        <f t="shared" si="762"/>
        <v>0</v>
      </c>
      <c r="BT167" s="182"/>
      <c r="BU167" s="182">
        <f t="shared" si="763"/>
        <v>0</v>
      </c>
      <c r="BV167" s="182"/>
      <c r="BW167" s="182">
        <f t="shared" si="764"/>
        <v>0</v>
      </c>
      <c r="BX167" s="182"/>
      <c r="BY167" s="183">
        <f t="shared" si="765"/>
        <v>0</v>
      </c>
      <c r="BZ167" s="182"/>
      <c r="CA167" s="187">
        <f t="shared" si="766"/>
        <v>0</v>
      </c>
      <c r="CB167" s="182"/>
      <c r="CC167" s="182">
        <f t="shared" si="767"/>
        <v>0</v>
      </c>
      <c r="CD167" s="182"/>
      <c r="CE167" s="182">
        <f t="shared" si="768"/>
        <v>0</v>
      </c>
      <c r="CF167" s="182"/>
      <c r="CG167" s="182">
        <f t="shared" si="769"/>
        <v>0</v>
      </c>
      <c r="CH167" s="182"/>
      <c r="CI167" s="182">
        <f t="shared" si="770"/>
        <v>0</v>
      </c>
      <c r="CJ167" s="182"/>
      <c r="CK167" s="182"/>
      <c r="CL167" s="182"/>
      <c r="CM167" s="183">
        <f t="shared" si="771"/>
        <v>0</v>
      </c>
      <c r="CN167" s="182"/>
      <c r="CO167" s="183">
        <f t="shared" si="772"/>
        <v>0</v>
      </c>
      <c r="CP167" s="182"/>
      <c r="CQ167" s="182">
        <f t="shared" si="773"/>
        <v>0</v>
      </c>
      <c r="CR167" s="182"/>
      <c r="CS167" s="182">
        <f t="shared" ref="CS167" si="785">(CR167*$E167*$F167*$G167*$L167*$CS$12)/12*10+(CR167*$E167*$F167*$G167*$L167*$CS$13)/12*2</f>
        <v>0</v>
      </c>
      <c r="CT167" s="182"/>
      <c r="CU167" s="182">
        <f t="shared" si="775"/>
        <v>0</v>
      </c>
      <c r="CV167" s="182"/>
      <c r="CW167" s="182">
        <v>0</v>
      </c>
      <c r="CX167" s="182"/>
      <c r="CY167" s="182">
        <f t="shared" si="776"/>
        <v>0</v>
      </c>
      <c r="CZ167" s="182"/>
      <c r="DA167" s="182">
        <v>0</v>
      </c>
      <c r="DB167" s="188"/>
      <c r="DC167" s="182">
        <f t="shared" si="777"/>
        <v>0</v>
      </c>
      <c r="DD167" s="182"/>
      <c r="DE167" s="187">
        <f t="shared" si="778"/>
        <v>0</v>
      </c>
      <c r="DF167" s="182"/>
      <c r="DG167" s="182">
        <f t="shared" si="779"/>
        <v>0</v>
      </c>
      <c r="DH167" s="189"/>
      <c r="DI167" s="182">
        <f t="shared" si="780"/>
        <v>0</v>
      </c>
      <c r="DJ167" s="182"/>
      <c r="DK167" s="182">
        <f t="shared" si="781"/>
        <v>0</v>
      </c>
      <c r="DL167" s="182"/>
      <c r="DM167" s="182">
        <f t="shared" si="782"/>
        <v>0</v>
      </c>
      <c r="DN167" s="182"/>
      <c r="DO167" s="190">
        <f t="shared" si="783"/>
        <v>0</v>
      </c>
      <c r="DP167" s="187"/>
      <c r="DQ167" s="187"/>
      <c r="DR167" s="183">
        <f t="shared" si="784"/>
        <v>133</v>
      </c>
      <c r="DS167" s="183">
        <f t="shared" si="784"/>
        <v>33352236.000799991</v>
      </c>
      <c r="DT167" s="182">
        <v>132</v>
      </c>
      <c r="DU167" s="182">
        <v>33053559.262079991</v>
      </c>
      <c r="DV167" s="167">
        <f t="shared" si="626"/>
        <v>1</v>
      </c>
      <c r="DW167" s="167">
        <f t="shared" si="626"/>
        <v>298676.73871999979</v>
      </c>
    </row>
    <row r="168" spans="1:127" s="6" customFormat="1" ht="30" customHeight="1" x14ac:dyDescent="0.25">
      <c r="A168" s="154"/>
      <c r="B168" s="176">
        <v>134</v>
      </c>
      <c r="C168" s="177" t="s">
        <v>421</v>
      </c>
      <c r="D168" s="210" t="s">
        <v>422</v>
      </c>
      <c r="E168" s="158">
        <v>25969</v>
      </c>
      <c r="F168" s="180">
        <v>3.05</v>
      </c>
      <c r="G168" s="168">
        <v>1</v>
      </c>
      <c r="H168" s="169"/>
      <c r="I168" s="169"/>
      <c r="J168" s="169"/>
      <c r="K168" s="106"/>
      <c r="L168" s="180">
        <v>1.4</v>
      </c>
      <c r="M168" s="180">
        <v>1.68</v>
      </c>
      <c r="N168" s="180">
        <v>2.23</v>
      </c>
      <c r="O168" s="181">
        <v>2.57</v>
      </c>
      <c r="P168" s="182">
        <v>30</v>
      </c>
      <c r="Q168" s="182">
        <f t="shared" si="741"/>
        <v>3659291.79</v>
      </c>
      <c r="R168" s="182">
        <v>8</v>
      </c>
      <c r="S168" s="182">
        <f t="shared" si="742"/>
        <v>975811.14399999997</v>
      </c>
      <c r="T168" s="182"/>
      <c r="U168" s="182">
        <f t="shared" si="743"/>
        <v>0</v>
      </c>
      <c r="V168" s="182"/>
      <c r="W168" s="183">
        <f t="shared" si="744"/>
        <v>0</v>
      </c>
      <c r="X168" s="183">
        <v>20</v>
      </c>
      <c r="Y168" s="183">
        <v>3104853.6399999992</v>
      </c>
      <c r="Z168" s="183">
        <v>3</v>
      </c>
      <c r="AA168" s="183">
        <v>558873.65519999992</v>
      </c>
      <c r="AB168" s="182">
        <f t="shared" si="745"/>
        <v>23</v>
      </c>
      <c r="AC168" s="182">
        <f t="shared" si="745"/>
        <v>3663727.2951999991</v>
      </c>
      <c r="AD168" s="182"/>
      <c r="AE168" s="182">
        <f t="shared" si="746"/>
        <v>0</v>
      </c>
      <c r="AF168" s="209"/>
      <c r="AG168" s="182"/>
      <c r="AH168" s="182">
        <v>8</v>
      </c>
      <c r="AI168" s="182">
        <f t="shared" si="747"/>
        <v>975811.14399999997</v>
      </c>
      <c r="AJ168" s="182"/>
      <c r="AK168" s="182"/>
      <c r="AL168" s="209"/>
      <c r="AM168" s="182"/>
      <c r="AN168" s="205"/>
      <c r="AO168" s="182">
        <f t="shared" si="748"/>
        <v>0</v>
      </c>
      <c r="AP168" s="182">
        <f>22-10</f>
        <v>12</v>
      </c>
      <c r="AQ168" s="183">
        <f t="shared" si="749"/>
        <v>1463716.716</v>
      </c>
      <c r="AR168" s="182"/>
      <c r="AS168" s="182">
        <f t="shared" si="750"/>
        <v>0</v>
      </c>
      <c r="AT168" s="182"/>
      <c r="AU168" s="182">
        <f t="shared" si="751"/>
        <v>0</v>
      </c>
      <c r="AV168" s="188">
        <v>28</v>
      </c>
      <c r="AW168" s="182">
        <v>5197525.040000001</v>
      </c>
      <c r="AX168" s="209"/>
      <c r="AY168" s="187">
        <f t="shared" si="752"/>
        <v>0</v>
      </c>
      <c r="AZ168" s="209"/>
      <c r="BA168" s="182">
        <f t="shared" si="753"/>
        <v>0</v>
      </c>
      <c r="BB168" s="182">
        <v>0</v>
      </c>
      <c r="BC168" s="182">
        <f t="shared" si="754"/>
        <v>0</v>
      </c>
      <c r="BD168" s="182"/>
      <c r="BE168" s="182">
        <f t="shared" si="755"/>
        <v>0</v>
      </c>
      <c r="BF168" s="209"/>
      <c r="BG168" s="182">
        <f t="shared" si="756"/>
        <v>0</v>
      </c>
      <c r="BH168" s="209"/>
      <c r="BI168" s="183">
        <f t="shared" si="757"/>
        <v>0</v>
      </c>
      <c r="BJ168" s="209"/>
      <c r="BK168" s="183">
        <f t="shared" si="758"/>
        <v>0</v>
      </c>
      <c r="BL168" s="209"/>
      <c r="BM168" s="182">
        <f t="shared" si="759"/>
        <v>0</v>
      </c>
      <c r="BN168" s="182"/>
      <c r="BO168" s="182">
        <f t="shared" si="760"/>
        <v>0</v>
      </c>
      <c r="BP168" s="209"/>
      <c r="BQ168" s="182">
        <f t="shared" si="761"/>
        <v>0</v>
      </c>
      <c r="BR168" s="209"/>
      <c r="BS168" s="183">
        <f t="shared" si="762"/>
        <v>0</v>
      </c>
      <c r="BT168" s="209"/>
      <c r="BU168" s="182">
        <f t="shared" si="763"/>
        <v>0</v>
      </c>
      <c r="BV168" s="209"/>
      <c r="BW168" s="182">
        <f t="shared" si="764"/>
        <v>0</v>
      </c>
      <c r="BX168" s="182"/>
      <c r="BY168" s="183">
        <f t="shared" si="765"/>
        <v>0</v>
      </c>
      <c r="BZ168" s="182"/>
      <c r="CA168" s="187">
        <f t="shared" si="766"/>
        <v>0</v>
      </c>
      <c r="CB168" s="209"/>
      <c r="CC168" s="182">
        <f t="shared" si="767"/>
        <v>0</v>
      </c>
      <c r="CD168" s="209"/>
      <c r="CE168" s="182">
        <f t="shared" si="768"/>
        <v>0</v>
      </c>
      <c r="CF168" s="209"/>
      <c r="CG168" s="182">
        <f t="shared" si="769"/>
        <v>0</v>
      </c>
      <c r="CH168" s="209"/>
      <c r="CI168" s="182">
        <f t="shared" si="770"/>
        <v>0</v>
      </c>
      <c r="CJ168" s="209"/>
      <c r="CK168" s="182"/>
      <c r="CL168" s="209"/>
      <c r="CM168" s="183">
        <f t="shared" si="771"/>
        <v>0</v>
      </c>
      <c r="CN168" s="209"/>
      <c r="CO168" s="183">
        <f t="shared" si="772"/>
        <v>0</v>
      </c>
      <c r="CP168" s="209"/>
      <c r="CQ168" s="182">
        <f t="shared" si="773"/>
        <v>0</v>
      </c>
      <c r="CR168" s="182">
        <v>4</v>
      </c>
      <c r="CS168" s="182">
        <f t="shared" ref="CS168" si="786">(CR168*$E168*$F168*$G168*$L168*$CS$12)/12*10+(CR168*$E168*$F168*$G168*$L168*$CS$13)/12+(CR168*$E168*$F168*$G168*$L168*$CS$13*$CS$15)/12</f>
        <v>531758.67266153323</v>
      </c>
      <c r="CT168" s="209"/>
      <c r="CU168" s="182">
        <f t="shared" si="775"/>
        <v>0</v>
      </c>
      <c r="CV168" s="209">
        <v>3</v>
      </c>
      <c r="CW168" s="182">
        <v>379235.71</v>
      </c>
      <c r="CX168" s="209"/>
      <c r="CY168" s="182">
        <f t="shared" si="776"/>
        <v>0</v>
      </c>
      <c r="CZ168" s="209"/>
      <c r="DA168" s="182">
        <v>0</v>
      </c>
      <c r="DB168" s="188"/>
      <c r="DC168" s="182">
        <f t="shared" si="777"/>
        <v>0</v>
      </c>
      <c r="DD168" s="209"/>
      <c r="DE168" s="187">
        <f t="shared" si="778"/>
        <v>0</v>
      </c>
      <c r="DF168" s="209"/>
      <c r="DG168" s="182">
        <f t="shared" si="779"/>
        <v>0</v>
      </c>
      <c r="DH168" s="253"/>
      <c r="DI168" s="182">
        <f t="shared" si="780"/>
        <v>0</v>
      </c>
      <c r="DJ168" s="182"/>
      <c r="DK168" s="182">
        <f t="shared" si="781"/>
        <v>0</v>
      </c>
      <c r="DL168" s="209"/>
      <c r="DM168" s="182">
        <f t="shared" si="782"/>
        <v>0</v>
      </c>
      <c r="DN168" s="209"/>
      <c r="DO168" s="190">
        <f t="shared" si="783"/>
        <v>0</v>
      </c>
      <c r="DP168" s="187"/>
      <c r="DQ168" s="187"/>
      <c r="DR168" s="183">
        <f t="shared" si="784"/>
        <v>116</v>
      </c>
      <c r="DS168" s="183">
        <f t="shared" si="784"/>
        <v>16846877.511861533</v>
      </c>
      <c r="DT168" s="182">
        <v>119</v>
      </c>
      <c r="DU168" s="182">
        <v>17350957.106933329</v>
      </c>
      <c r="DV168" s="167">
        <f t="shared" si="626"/>
        <v>-3</v>
      </c>
      <c r="DW168" s="167">
        <f t="shared" si="626"/>
        <v>-504079.59507179633</v>
      </c>
    </row>
    <row r="169" spans="1:127" s="6" customFormat="1" ht="30" customHeight="1" x14ac:dyDescent="0.25">
      <c r="A169" s="154"/>
      <c r="B169" s="176">
        <v>135</v>
      </c>
      <c r="C169" s="177" t="s">
        <v>423</v>
      </c>
      <c r="D169" s="210" t="s">
        <v>424</v>
      </c>
      <c r="E169" s="158">
        <v>25969</v>
      </c>
      <c r="F169" s="180">
        <v>5.31</v>
      </c>
      <c r="G169" s="168">
        <v>1</v>
      </c>
      <c r="H169" s="169"/>
      <c r="I169" s="169"/>
      <c r="J169" s="169"/>
      <c r="K169" s="106"/>
      <c r="L169" s="180">
        <v>1.4</v>
      </c>
      <c r="M169" s="180">
        <v>1.68</v>
      </c>
      <c r="N169" s="180">
        <v>2.23</v>
      </c>
      <c r="O169" s="181">
        <v>2.57</v>
      </c>
      <c r="P169" s="182">
        <v>10</v>
      </c>
      <c r="Q169" s="182">
        <f t="shared" si="741"/>
        <v>2123589.0060000001</v>
      </c>
      <c r="R169" s="182">
        <v>10</v>
      </c>
      <c r="S169" s="182">
        <f t="shared" si="742"/>
        <v>2123589.0060000001</v>
      </c>
      <c r="T169" s="182"/>
      <c r="U169" s="182">
        <f t="shared" si="743"/>
        <v>0</v>
      </c>
      <c r="V169" s="182"/>
      <c r="W169" s="183">
        <f t="shared" si="744"/>
        <v>0</v>
      </c>
      <c r="X169" s="183">
        <v>161</v>
      </c>
      <c r="Y169" s="183">
        <v>43514269.268399991</v>
      </c>
      <c r="Z169" s="183">
        <v>5</v>
      </c>
      <c r="AA169" s="183">
        <v>1621649.7863999996</v>
      </c>
      <c r="AB169" s="182">
        <f t="shared" si="745"/>
        <v>166</v>
      </c>
      <c r="AC169" s="182">
        <f t="shared" si="745"/>
        <v>45135919.054799989</v>
      </c>
      <c r="AD169" s="182"/>
      <c r="AE169" s="182">
        <f t="shared" si="746"/>
        <v>0</v>
      </c>
      <c r="AF169" s="209"/>
      <c r="AG169" s="182"/>
      <c r="AH169" s="182">
        <v>15</v>
      </c>
      <c r="AI169" s="182">
        <f t="shared" si="747"/>
        <v>3185383.5089999996</v>
      </c>
      <c r="AJ169" s="182"/>
      <c r="AK169" s="182"/>
      <c r="AL169" s="209"/>
      <c r="AM169" s="182"/>
      <c r="AN169" s="205"/>
      <c r="AO169" s="182">
        <f t="shared" si="748"/>
        <v>0</v>
      </c>
      <c r="AP169" s="182">
        <f>24-10</f>
        <v>14</v>
      </c>
      <c r="AQ169" s="183">
        <f t="shared" si="749"/>
        <v>2973024.6084000003</v>
      </c>
      <c r="AR169" s="182"/>
      <c r="AS169" s="182">
        <f t="shared" si="750"/>
        <v>0</v>
      </c>
      <c r="AT169" s="182"/>
      <c r="AU169" s="182">
        <f t="shared" si="751"/>
        <v>0</v>
      </c>
      <c r="AV169" s="188">
        <v>67</v>
      </c>
      <c r="AW169" s="182">
        <v>21697674.320000038</v>
      </c>
      <c r="AX169" s="209"/>
      <c r="AY169" s="187">
        <f t="shared" si="752"/>
        <v>0</v>
      </c>
      <c r="AZ169" s="209"/>
      <c r="BA169" s="182">
        <f t="shared" si="753"/>
        <v>0</v>
      </c>
      <c r="BB169" s="209"/>
      <c r="BC169" s="182">
        <f t="shared" si="754"/>
        <v>0</v>
      </c>
      <c r="BD169" s="182"/>
      <c r="BE169" s="182">
        <f t="shared" si="755"/>
        <v>0</v>
      </c>
      <c r="BF169" s="209"/>
      <c r="BG169" s="182">
        <f t="shared" si="756"/>
        <v>0</v>
      </c>
      <c r="BH169" s="209"/>
      <c r="BI169" s="183">
        <f t="shared" si="757"/>
        <v>0</v>
      </c>
      <c r="BJ169" s="209"/>
      <c r="BK169" s="183">
        <f t="shared" si="758"/>
        <v>0</v>
      </c>
      <c r="BL169" s="209"/>
      <c r="BM169" s="182">
        <f t="shared" si="759"/>
        <v>0</v>
      </c>
      <c r="BN169" s="182"/>
      <c r="BO169" s="182">
        <f t="shared" si="760"/>
        <v>0</v>
      </c>
      <c r="BP169" s="209"/>
      <c r="BQ169" s="182">
        <f t="shared" si="761"/>
        <v>0</v>
      </c>
      <c r="BR169" s="209"/>
      <c r="BS169" s="183">
        <f t="shared" si="762"/>
        <v>0</v>
      </c>
      <c r="BT169" s="209"/>
      <c r="BU169" s="182">
        <f t="shared" si="763"/>
        <v>0</v>
      </c>
      <c r="BV169" s="209"/>
      <c r="BW169" s="182">
        <f t="shared" si="764"/>
        <v>0</v>
      </c>
      <c r="BX169" s="182"/>
      <c r="BY169" s="183">
        <f t="shared" si="765"/>
        <v>0</v>
      </c>
      <c r="BZ169" s="182"/>
      <c r="CA169" s="187">
        <f t="shared" si="766"/>
        <v>0</v>
      </c>
      <c r="CB169" s="209"/>
      <c r="CC169" s="182">
        <f t="shared" si="767"/>
        <v>0</v>
      </c>
      <c r="CD169" s="209"/>
      <c r="CE169" s="182">
        <f t="shared" si="768"/>
        <v>0</v>
      </c>
      <c r="CF169" s="209"/>
      <c r="CG169" s="182">
        <f t="shared" si="769"/>
        <v>0</v>
      </c>
      <c r="CH169" s="209"/>
      <c r="CI169" s="182">
        <f t="shared" si="770"/>
        <v>0</v>
      </c>
      <c r="CJ169" s="209"/>
      <c r="CK169" s="182"/>
      <c r="CL169" s="209"/>
      <c r="CM169" s="183">
        <f t="shared" si="771"/>
        <v>0</v>
      </c>
      <c r="CN169" s="209"/>
      <c r="CO169" s="183">
        <f t="shared" si="772"/>
        <v>0</v>
      </c>
      <c r="CP169" s="182"/>
      <c r="CQ169" s="182">
        <f t="shared" si="773"/>
        <v>0</v>
      </c>
      <c r="CR169" s="182"/>
      <c r="CS169" s="182">
        <f t="shared" si="774"/>
        <v>0</v>
      </c>
      <c r="CT169" s="209"/>
      <c r="CU169" s="182">
        <f t="shared" si="775"/>
        <v>0</v>
      </c>
      <c r="CV169" s="182"/>
      <c r="CW169" s="182">
        <v>0</v>
      </c>
      <c r="CX169" s="209"/>
      <c r="CY169" s="182">
        <f t="shared" si="776"/>
        <v>0</v>
      </c>
      <c r="CZ169" s="209"/>
      <c r="DA169" s="182">
        <v>0</v>
      </c>
      <c r="DB169" s="188"/>
      <c r="DC169" s="182">
        <f t="shared" si="777"/>
        <v>0</v>
      </c>
      <c r="DD169" s="209"/>
      <c r="DE169" s="187">
        <f t="shared" si="778"/>
        <v>0</v>
      </c>
      <c r="DF169" s="209"/>
      <c r="DG169" s="182">
        <f t="shared" si="779"/>
        <v>0</v>
      </c>
      <c r="DH169" s="253"/>
      <c r="DI169" s="182">
        <f t="shared" si="780"/>
        <v>0</v>
      </c>
      <c r="DJ169" s="182"/>
      <c r="DK169" s="182">
        <f t="shared" si="781"/>
        <v>0</v>
      </c>
      <c r="DL169" s="209"/>
      <c r="DM169" s="182">
        <f t="shared" si="782"/>
        <v>0</v>
      </c>
      <c r="DN169" s="209"/>
      <c r="DO169" s="190">
        <f t="shared" si="783"/>
        <v>0</v>
      </c>
      <c r="DP169" s="187"/>
      <c r="DQ169" s="187"/>
      <c r="DR169" s="183">
        <f t="shared" si="784"/>
        <v>282</v>
      </c>
      <c r="DS169" s="183">
        <f t="shared" si="784"/>
        <v>77239179.504200026</v>
      </c>
      <c r="DT169" s="182">
        <v>274</v>
      </c>
      <c r="DU169" s="182">
        <v>74676972.663719997</v>
      </c>
      <c r="DV169" s="167">
        <f t="shared" si="626"/>
        <v>8</v>
      </c>
      <c r="DW169" s="167">
        <f t="shared" si="626"/>
        <v>2562206.8404800296</v>
      </c>
    </row>
    <row r="170" spans="1:127" ht="45" customHeight="1" x14ac:dyDescent="0.25">
      <c r="A170" s="154"/>
      <c r="B170" s="176">
        <v>136</v>
      </c>
      <c r="C170" s="177" t="s">
        <v>425</v>
      </c>
      <c r="D170" s="210" t="s">
        <v>426</v>
      </c>
      <c r="E170" s="158">
        <v>25969</v>
      </c>
      <c r="F170" s="179">
        <v>1.66</v>
      </c>
      <c r="G170" s="168">
        <v>1</v>
      </c>
      <c r="H170" s="169"/>
      <c r="I170" s="169"/>
      <c r="J170" s="169"/>
      <c r="K170" s="106"/>
      <c r="L170" s="180">
        <v>1.4</v>
      </c>
      <c r="M170" s="180">
        <v>1.68</v>
      </c>
      <c r="N170" s="180">
        <v>2.23</v>
      </c>
      <c r="O170" s="181">
        <v>2.57</v>
      </c>
      <c r="P170" s="182">
        <v>3</v>
      </c>
      <c r="Q170" s="182">
        <f t="shared" si="741"/>
        <v>199161.45480000001</v>
      </c>
      <c r="R170" s="182"/>
      <c r="S170" s="182">
        <f t="shared" si="742"/>
        <v>0</v>
      </c>
      <c r="T170" s="182"/>
      <c r="U170" s="182">
        <f t="shared" si="743"/>
        <v>0</v>
      </c>
      <c r="V170" s="182"/>
      <c r="W170" s="183">
        <f t="shared" si="744"/>
        <v>0</v>
      </c>
      <c r="X170" s="183">
        <v>4</v>
      </c>
      <c r="Y170" s="183">
        <v>337970.95359999995</v>
      </c>
      <c r="Z170" s="183"/>
      <c r="AA170" s="183">
        <v>0</v>
      </c>
      <c r="AB170" s="182">
        <f t="shared" si="745"/>
        <v>4</v>
      </c>
      <c r="AC170" s="182">
        <f t="shared" si="745"/>
        <v>337970.95359999995</v>
      </c>
      <c r="AD170" s="182"/>
      <c r="AE170" s="182">
        <f t="shared" si="746"/>
        <v>0</v>
      </c>
      <c r="AF170" s="182"/>
      <c r="AG170" s="182"/>
      <c r="AH170" s="182">
        <v>2</v>
      </c>
      <c r="AI170" s="182">
        <f t="shared" si="747"/>
        <v>132774.30319999999</v>
      </c>
      <c r="AJ170" s="182"/>
      <c r="AK170" s="182"/>
      <c r="AL170" s="182"/>
      <c r="AM170" s="182"/>
      <c r="AN170" s="205"/>
      <c r="AO170" s="182">
        <f t="shared" si="748"/>
        <v>0</v>
      </c>
      <c r="AP170" s="182">
        <f>8+6</f>
        <v>14</v>
      </c>
      <c r="AQ170" s="183">
        <f t="shared" si="749"/>
        <v>929420.12239999988</v>
      </c>
      <c r="AR170" s="182"/>
      <c r="AS170" s="182">
        <f t="shared" si="750"/>
        <v>0</v>
      </c>
      <c r="AT170" s="182"/>
      <c r="AU170" s="182">
        <f t="shared" si="751"/>
        <v>0</v>
      </c>
      <c r="AV170" s="186">
        <v>2</v>
      </c>
      <c r="AW170" s="182">
        <v>202782.58</v>
      </c>
      <c r="AX170" s="182"/>
      <c r="AY170" s="187">
        <f t="shared" si="752"/>
        <v>0</v>
      </c>
      <c r="AZ170" s="182"/>
      <c r="BA170" s="182">
        <f t="shared" si="753"/>
        <v>0</v>
      </c>
      <c r="BB170" s="182">
        <v>0</v>
      </c>
      <c r="BC170" s="182">
        <f t="shared" si="754"/>
        <v>0</v>
      </c>
      <c r="BD170" s="182"/>
      <c r="BE170" s="182">
        <f t="shared" si="755"/>
        <v>0</v>
      </c>
      <c r="BF170" s="182"/>
      <c r="BG170" s="182">
        <f t="shared" si="756"/>
        <v>0</v>
      </c>
      <c r="BH170" s="182"/>
      <c r="BI170" s="183">
        <f t="shared" si="757"/>
        <v>0</v>
      </c>
      <c r="BJ170" s="182"/>
      <c r="BK170" s="183">
        <f t="shared" si="758"/>
        <v>0</v>
      </c>
      <c r="BL170" s="182"/>
      <c r="BM170" s="182">
        <f t="shared" si="759"/>
        <v>0</v>
      </c>
      <c r="BN170" s="182"/>
      <c r="BO170" s="182">
        <f t="shared" si="760"/>
        <v>0</v>
      </c>
      <c r="BP170" s="182"/>
      <c r="BQ170" s="182">
        <f t="shared" si="761"/>
        <v>0</v>
      </c>
      <c r="BR170" s="182"/>
      <c r="BS170" s="183">
        <f t="shared" si="762"/>
        <v>0</v>
      </c>
      <c r="BT170" s="182"/>
      <c r="BU170" s="182">
        <f t="shared" si="763"/>
        <v>0</v>
      </c>
      <c r="BV170" s="182"/>
      <c r="BW170" s="182">
        <f t="shared" si="764"/>
        <v>0</v>
      </c>
      <c r="BX170" s="182"/>
      <c r="BY170" s="183">
        <f t="shared" si="765"/>
        <v>0</v>
      </c>
      <c r="BZ170" s="182"/>
      <c r="CA170" s="187">
        <f t="shared" si="766"/>
        <v>0</v>
      </c>
      <c r="CB170" s="182"/>
      <c r="CC170" s="182">
        <f t="shared" si="767"/>
        <v>0</v>
      </c>
      <c r="CD170" s="182"/>
      <c r="CE170" s="182">
        <f t="shared" si="768"/>
        <v>0</v>
      </c>
      <c r="CF170" s="182"/>
      <c r="CG170" s="182">
        <f t="shared" si="769"/>
        <v>0</v>
      </c>
      <c r="CH170" s="182"/>
      <c r="CI170" s="182">
        <f t="shared" si="770"/>
        <v>0</v>
      </c>
      <c r="CJ170" s="182"/>
      <c r="CK170" s="182"/>
      <c r="CL170" s="182"/>
      <c r="CM170" s="183">
        <f t="shared" si="771"/>
        <v>0</v>
      </c>
      <c r="CN170" s="182"/>
      <c r="CO170" s="183">
        <f t="shared" si="772"/>
        <v>0</v>
      </c>
      <c r="CP170" s="182"/>
      <c r="CQ170" s="182">
        <f t="shared" si="773"/>
        <v>0</v>
      </c>
      <c r="CR170" s="182"/>
      <c r="CS170" s="182">
        <f t="shared" si="774"/>
        <v>0</v>
      </c>
      <c r="CT170" s="182"/>
      <c r="CU170" s="182">
        <f t="shared" si="775"/>
        <v>0</v>
      </c>
      <c r="CV170" s="182"/>
      <c r="CW170" s="182">
        <v>0</v>
      </c>
      <c r="CX170" s="182"/>
      <c r="CY170" s="182">
        <f t="shared" si="776"/>
        <v>0</v>
      </c>
      <c r="CZ170" s="182"/>
      <c r="DA170" s="182">
        <v>0</v>
      </c>
      <c r="DB170" s="188"/>
      <c r="DC170" s="182">
        <f t="shared" si="777"/>
        <v>0</v>
      </c>
      <c r="DD170" s="182"/>
      <c r="DE170" s="187">
        <f t="shared" si="778"/>
        <v>0</v>
      </c>
      <c r="DF170" s="182"/>
      <c r="DG170" s="182">
        <f t="shared" si="779"/>
        <v>0</v>
      </c>
      <c r="DH170" s="189"/>
      <c r="DI170" s="182">
        <f t="shared" si="780"/>
        <v>0</v>
      </c>
      <c r="DJ170" s="182"/>
      <c r="DK170" s="182">
        <f t="shared" si="781"/>
        <v>0</v>
      </c>
      <c r="DL170" s="182"/>
      <c r="DM170" s="182">
        <f t="shared" si="782"/>
        <v>0</v>
      </c>
      <c r="DN170" s="182"/>
      <c r="DO170" s="190">
        <f t="shared" si="783"/>
        <v>0</v>
      </c>
      <c r="DP170" s="187"/>
      <c r="DQ170" s="187"/>
      <c r="DR170" s="183">
        <f t="shared" si="784"/>
        <v>25</v>
      </c>
      <c r="DS170" s="183">
        <f t="shared" si="784"/>
        <v>1802109.4139999999</v>
      </c>
      <c r="DT170" s="182">
        <v>23</v>
      </c>
      <c r="DU170" s="182">
        <v>1599326.8339999998</v>
      </c>
      <c r="DV170" s="167">
        <f t="shared" si="626"/>
        <v>2</v>
      </c>
      <c r="DW170" s="167">
        <f t="shared" si="626"/>
        <v>202782.58000000007</v>
      </c>
    </row>
    <row r="171" spans="1:127" ht="45" customHeight="1" x14ac:dyDescent="0.25">
      <c r="A171" s="154"/>
      <c r="B171" s="176">
        <v>137</v>
      </c>
      <c r="C171" s="177" t="s">
        <v>427</v>
      </c>
      <c r="D171" s="210" t="s">
        <v>428</v>
      </c>
      <c r="E171" s="158">
        <v>25969</v>
      </c>
      <c r="F171" s="179">
        <v>2.77</v>
      </c>
      <c r="G171" s="168">
        <v>1</v>
      </c>
      <c r="H171" s="169"/>
      <c r="I171" s="169"/>
      <c r="J171" s="169"/>
      <c r="K171" s="106"/>
      <c r="L171" s="180">
        <v>1.4</v>
      </c>
      <c r="M171" s="180">
        <v>1.68</v>
      </c>
      <c r="N171" s="180">
        <v>2.23</v>
      </c>
      <c r="O171" s="181">
        <v>2.57</v>
      </c>
      <c r="P171" s="182">
        <v>23</v>
      </c>
      <c r="Q171" s="182">
        <f t="shared" si="741"/>
        <v>2547906.8846000005</v>
      </c>
      <c r="R171" s="182"/>
      <c r="S171" s="182">
        <f t="shared" si="742"/>
        <v>0</v>
      </c>
      <c r="T171" s="182"/>
      <c r="U171" s="182">
        <f t="shared" si="743"/>
        <v>0</v>
      </c>
      <c r="V171" s="182"/>
      <c r="W171" s="183">
        <f t="shared" si="744"/>
        <v>0</v>
      </c>
      <c r="X171" s="183">
        <v>239</v>
      </c>
      <c r="Y171" s="183">
        <v>33696823.857199997</v>
      </c>
      <c r="Z171" s="183">
        <v>2</v>
      </c>
      <c r="AA171" s="183">
        <v>338378.14752</v>
      </c>
      <c r="AB171" s="182">
        <f t="shared" si="745"/>
        <v>241</v>
      </c>
      <c r="AC171" s="182">
        <f t="shared" si="745"/>
        <v>34035202.004719995</v>
      </c>
      <c r="AD171" s="182"/>
      <c r="AE171" s="182">
        <f t="shared" si="746"/>
        <v>0</v>
      </c>
      <c r="AF171" s="182"/>
      <c r="AG171" s="182"/>
      <c r="AH171" s="182">
        <v>5</v>
      </c>
      <c r="AI171" s="182">
        <f t="shared" si="747"/>
        <v>553892.80099999998</v>
      </c>
      <c r="AJ171" s="182"/>
      <c r="AK171" s="182"/>
      <c r="AL171" s="182"/>
      <c r="AM171" s="182"/>
      <c r="AN171" s="205"/>
      <c r="AO171" s="182">
        <f t="shared" si="748"/>
        <v>0</v>
      </c>
      <c r="AP171" s="182">
        <v>12</v>
      </c>
      <c r="AQ171" s="183">
        <f t="shared" si="749"/>
        <v>1329342.7224000001</v>
      </c>
      <c r="AR171" s="182"/>
      <c r="AS171" s="182">
        <f t="shared" si="750"/>
        <v>0</v>
      </c>
      <c r="AT171" s="182"/>
      <c r="AU171" s="182">
        <f t="shared" si="751"/>
        <v>0</v>
      </c>
      <c r="AV171" s="188">
        <v>12</v>
      </c>
      <c r="AW171" s="182">
        <v>2013349.9300000004</v>
      </c>
      <c r="AX171" s="182"/>
      <c r="AY171" s="187">
        <f t="shared" si="752"/>
        <v>0</v>
      </c>
      <c r="AZ171" s="182"/>
      <c r="BA171" s="182">
        <f t="shared" si="753"/>
        <v>0</v>
      </c>
      <c r="BB171" s="182">
        <v>0</v>
      </c>
      <c r="BC171" s="182">
        <f t="shared" si="754"/>
        <v>0</v>
      </c>
      <c r="BD171" s="182"/>
      <c r="BE171" s="182">
        <f t="shared" si="755"/>
        <v>0</v>
      </c>
      <c r="BF171" s="182"/>
      <c r="BG171" s="182">
        <f t="shared" si="756"/>
        <v>0</v>
      </c>
      <c r="BH171" s="182"/>
      <c r="BI171" s="183">
        <f t="shared" si="757"/>
        <v>0</v>
      </c>
      <c r="BJ171" s="182"/>
      <c r="BK171" s="183">
        <f t="shared" si="758"/>
        <v>0</v>
      </c>
      <c r="BL171" s="182"/>
      <c r="BM171" s="182">
        <f t="shared" si="759"/>
        <v>0</v>
      </c>
      <c r="BN171" s="182"/>
      <c r="BO171" s="182">
        <f t="shared" si="760"/>
        <v>0</v>
      </c>
      <c r="BP171" s="182"/>
      <c r="BQ171" s="182">
        <f t="shared" si="761"/>
        <v>0</v>
      </c>
      <c r="BR171" s="182"/>
      <c r="BS171" s="183">
        <f t="shared" si="762"/>
        <v>0</v>
      </c>
      <c r="BT171" s="182"/>
      <c r="BU171" s="182">
        <f t="shared" si="763"/>
        <v>0</v>
      </c>
      <c r="BV171" s="182"/>
      <c r="BW171" s="182">
        <f t="shared" si="764"/>
        <v>0</v>
      </c>
      <c r="BX171" s="182"/>
      <c r="BY171" s="183">
        <f t="shared" si="765"/>
        <v>0</v>
      </c>
      <c r="BZ171" s="182"/>
      <c r="CA171" s="187">
        <f t="shared" si="766"/>
        <v>0</v>
      </c>
      <c r="CB171" s="182"/>
      <c r="CC171" s="182">
        <f t="shared" si="767"/>
        <v>0</v>
      </c>
      <c r="CD171" s="182"/>
      <c r="CE171" s="182">
        <f t="shared" si="768"/>
        <v>0</v>
      </c>
      <c r="CF171" s="182"/>
      <c r="CG171" s="182">
        <f t="shared" si="769"/>
        <v>0</v>
      </c>
      <c r="CH171" s="182"/>
      <c r="CI171" s="182">
        <f t="shared" si="770"/>
        <v>0</v>
      </c>
      <c r="CJ171" s="182"/>
      <c r="CK171" s="182"/>
      <c r="CL171" s="182"/>
      <c r="CM171" s="183">
        <f t="shared" si="771"/>
        <v>0</v>
      </c>
      <c r="CN171" s="182"/>
      <c r="CO171" s="183">
        <f t="shared" si="772"/>
        <v>0</v>
      </c>
      <c r="CP171" s="182"/>
      <c r="CQ171" s="182">
        <f t="shared" si="773"/>
        <v>0</v>
      </c>
      <c r="CR171" s="182"/>
      <c r="CS171" s="182">
        <f t="shared" si="774"/>
        <v>0</v>
      </c>
      <c r="CT171" s="182"/>
      <c r="CU171" s="182">
        <f t="shared" si="775"/>
        <v>0</v>
      </c>
      <c r="CV171" s="182"/>
      <c r="CW171" s="182">
        <v>0</v>
      </c>
      <c r="CX171" s="182"/>
      <c r="CY171" s="182">
        <f t="shared" si="776"/>
        <v>0</v>
      </c>
      <c r="CZ171" s="182"/>
      <c r="DA171" s="182">
        <v>0</v>
      </c>
      <c r="DB171" s="188"/>
      <c r="DC171" s="182">
        <f t="shared" si="777"/>
        <v>0</v>
      </c>
      <c r="DD171" s="182"/>
      <c r="DE171" s="187">
        <f t="shared" si="778"/>
        <v>0</v>
      </c>
      <c r="DF171" s="182"/>
      <c r="DG171" s="182">
        <f t="shared" si="779"/>
        <v>0</v>
      </c>
      <c r="DH171" s="189"/>
      <c r="DI171" s="182">
        <f t="shared" si="780"/>
        <v>0</v>
      </c>
      <c r="DJ171" s="182"/>
      <c r="DK171" s="182">
        <f t="shared" si="781"/>
        <v>0</v>
      </c>
      <c r="DL171" s="182"/>
      <c r="DM171" s="182">
        <f t="shared" si="782"/>
        <v>0</v>
      </c>
      <c r="DN171" s="182"/>
      <c r="DO171" s="190">
        <f t="shared" si="783"/>
        <v>0</v>
      </c>
      <c r="DP171" s="187"/>
      <c r="DQ171" s="187"/>
      <c r="DR171" s="183">
        <f t="shared" si="784"/>
        <v>293</v>
      </c>
      <c r="DS171" s="183">
        <f t="shared" si="784"/>
        <v>40479694.342719994</v>
      </c>
      <c r="DT171" s="182">
        <v>297</v>
      </c>
      <c r="DU171" s="182">
        <v>41173369.592879996</v>
      </c>
      <c r="DV171" s="167">
        <f t="shared" si="626"/>
        <v>-4</v>
      </c>
      <c r="DW171" s="167">
        <f t="shared" si="626"/>
        <v>-693675.25016000122</v>
      </c>
    </row>
    <row r="172" spans="1:127" ht="45" customHeight="1" x14ac:dyDescent="0.25">
      <c r="A172" s="154"/>
      <c r="B172" s="176">
        <v>138</v>
      </c>
      <c r="C172" s="177" t="s">
        <v>429</v>
      </c>
      <c r="D172" s="210" t="s">
        <v>430</v>
      </c>
      <c r="E172" s="158">
        <v>25969</v>
      </c>
      <c r="F172" s="179">
        <v>4.32</v>
      </c>
      <c r="G172" s="168">
        <v>1</v>
      </c>
      <c r="H172" s="169"/>
      <c r="I172" s="169"/>
      <c r="J172" s="169"/>
      <c r="K172" s="106"/>
      <c r="L172" s="180">
        <v>1.4</v>
      </c>
      <c r="M172" s="180">
        <v>1.68</v>
      </c>
      <c r="N172" s="180">
        <v>2.23</v>
      </c>
      <c r="O172" s="181">
        <v>2.57</v>
      </c>
      <c r="P172" s="182">
        <v>10</v>
      </c>
      <c r="Q172" s="182">
        <f t="shared" si="741"/>
        <v>1727665.632</v>
      </c>
      <c r="R172" s="182"/>
      <c r="S172" s="182">
        <f t="shared" si="742"/>
        <v>0</v>
      </c>
      <c r="T172" s="182"/>
      <c r="U172" s="182">
        <f t="shared" si="743"/>
        <v>0</v>
      </c>
      <c r="V172" s="182"/>
      <c r="W172" s="183">
        <f t="shared" si="744"/>
        <v>0</v>
      </c>
      <c r="X172" s="183">
        <v>65</v>
      </c>
      <c r="Y172" s="183">
        <v>14292506.591999998</v>
      </c>
      <c r="Z172" s="183">
        <v>1</v>
      </c>
      <c r="AA172" s="183">
        <v>263861.66015999997</v>
      </c>
      <c r="AB172" s="182">
        <f t="shared" si="745"/>
        <v>66</v>
      </c>
      <c r="AC172" s="182">
        <f t="shared" si="745"/>
        <v>14556368.252159998</v>
      </c>
      <c r="AD172" s="182"/>
      <c r="AE172" s="182">
        <f t="shared" si="746"/>
        <v>0</v>
      </c>
      <c r="AF172" s="182"/>
      <c r="AG172" s="182"/>
      <c r="AH172" s="182"/>
      <c r="AI172" s="182">
        <f t="shared" si="747"/>
        <v>0</v>
      </c>
      <c r="AJ172" s="182"/>
      <c r="AK172" s="182"/>
      <c r="AL172" s="182"/>
      <c r="AM172" s="182"/>
      <c r="AN172" s="205"/>
      <c r="AO172" s="182">
        <f t="shared" si="748"/>
        <v>0</v>
      </c>
      <c r="AP172" s="182"/>
      <c r="AQ172" s="183">
        <f t="shared" si="749"/>
        <v>0</v>
      </c>
      <c r="AR172" s="182"/>
      <c r="AS172" s="182">
        <f t="shared" si="750"/>
        <v>0</v>
      </c>
      <c r="AT172" s="182"/>
      <c r="AU172" s="182">
        <f t="shared" si="751"/>
        <v>0</v>
      </c>
      <c r="AV172" s="188">
        <v>6</v>
      </c>
      <c r="AW172" s="182">
        <v>1583169.9599999997</v>
      </c>
      <c r="AX172" s="182"/>
      <c r="AY172" s="187">
        <f t="shared" si="752"/>
        <v>0</v>
      </c>
      <c r="AZ172" s="182"/>
      <c r="BA172" s="182">
        <f t="shared" si="753"/>
        <v>0</v>
      </c>
      <c r="BB172" s="182">
        <v>0</v>
      </c>
      <c r="BC172" s="182">
        <f t="shared" si="754"/>
        <v>0</v>
      </c>
      <c r="BD172" s="182"/>
      <c r="BE172" s="182">
        <f t="shared" si="755"/>
        <v>0</v>
      </c>
      <c r="BF172" s="182"/>
      <c r="BG172" s="182">
        <f t="shared" si="756"/>
        <v>0</v>
      </c>
      <c r="BH172" s="182"/>
      <c r="BI172" s="183">
        <f t="shared" si="757"/>
        <v>0</v>
      </c>
      <c r="BJ172" s="182"/>
      <c r="BK172" s="183">
        <f t="shared" si="758"/>
        <v>0</v>
      </c>
      <c r="BL172" s="182"/>
      <c r="BM172" s="182">
        <f t="shared" si="759"/>
        <v>0</v>
      </c>
      <c r="BN172" s="182"/>
      <c r="BO172" s="182">
        <f t="shared" si="760"/>
        <v>0</v>
      </c>
      <c r="BP172" s="182"/>
      <c r="BQ172" s="182">
        <f t="shared" si="761"/>
        <v>0</v>
      </c>
      <c r="BR172" s="182"/>
      <c r="BS172" s="183">
        <f t="shared" si="762"/>
        <v>0</v>
      </c>
      <c r="BT172" s="182"/>
      <c r="BU172" s="182">
        <f t="shared" si="763"/>
        <v>0</v>
      </c>
      <c r="BV172" s="182"/>
      <c r="BW172" s="182">
        <f t="shared" si="764"/>
        <v>0</v>
      </c>
      <c r="BX172" s="182"/>
      <c r="BY172" s="183">
        <f t="shared" si="765"/>
        <v>0</v>
      </c>
      <c r="BZ172" s="182"/>
      <c r="CA172" s="187">
        <f t="shared" si="766"/>
        <v>0</v>
      </c>
      <c r="CB172" s="182"/>
      <c r="CC172" s="182">
        <f t="shared" si="767"/>
        <v>0</v>
      </c>
      <c r="CD172" s="182"/>
      <c r="CE172" s="182">
        <f t="shared" si="768"/>
        <v>0</v>
      </c>
      <c r="CF172" s="182"/>
      <c r="CG172" s="182">
        <f t="shared" si="769"/>
        <v>0</v>
      </c>
      <c r="CH172" s="182"/>
      <c r="CI172" s="182">
        <f t="shared" si="770"/>
        <v>0</v>
      </c>
      <c r="CJ172" s="182"/>
      <c r="CK172" s="182"/>
      <c r="CL172" s="182"/>
      <c r="CM172" s="183">
        <f t="shared" si="771"/>
        <v>0</v>
      </c>
      <c r="CN172" s="182"/>
      <c r="CO172" s="183">
        <f t="shared" si="772"/>
        <v>0</v>
      </c>
      <c r="CP172" s="182"/>
      <c r="CQ172" s="182">
        <f t="shared" si="773"/>
        <v>0</v>
      </c>
      <c r="CR172" s="182"/>
      <c r="CS172" s="182">
        <f t="shared" si="774"/>
        <v>0</v>
      </c>
      <c r="CT172" s="182"/>
      <c r="CU172" s="182">
        <f t="shared" si="775"/>
        <v>0</v>
      </c>
      <c r="CV172" s="182"/>
      <c r="CW172" s="182">
        <v>0</v>
      </c>
      <c r="CX172" s="182"/>
      <c r="CY172" s="182">
        <f t="shared" si="776"/>
        <v>0</v>
      </c>
      <c r="CZ172" s="182"/>
      <c r="DA172" s="182">
        <v>0</v>
      </c>
      <c r="DB172" s="188"/>
      <c r="DC172" s="182">
        <f t="shared" si="777"/>
        <v>0</v>
      </c>
      <c r="DD172" s="182"/>
      <c r="DE172" s="187">
        <f t="shared" si="778"/>
        <v>0</v>
      </c>
      <c r="DF172" s="182"/>
      <c r="DG172" s="182">
        <f t="shared" si="779"/>
        <v>0</v>
      </c>
      <c r="DH172" s="189"/>
      <c r="DI172" s="182">
        <f t="shared" si="780"/>
        <v>0</v>
      </c>
      <c r="DJ172" s="182"/>
      <c r="DK172" s="182">
        <f t="shared" si="781"/>
        <v>0</v>
      </c>
      <c r="DL172" s="182"/>
      <c r="DM172" s="182">
        <f t="shared" si="782"/>
        <v>0</v>
      </c>
      <c r="DN172" s="182"/>
      <c r="DO172" s="190">
        <f t="shared" si="783"/>
        <v>0</v>
      </c>
      <c r="DP172" s="187"/>
      <c r="DQ172" s="187"/>
      <c r="DR172" s="183">
        <f t="shared" si="784"/>
        <v>82</v>
      </c>
      <c r="DS172" s="183">
        <f t="shared" si="784"/>
        <v>17867203.844159998</v>
      </c>
      <c r="DT172" s="182">
        <v>83</v>
      </c>
      <c r="DU172" s="182">
        <v>18131065.505279996</v>
      </c>
      <c r="DV172" s="167">
        <f t="shared" si="626"/>
        <v>-1</v>
      </c>
      <c r="DW172" s="167">
        <f t="shared" si="626"/>
        <v>-263861.6611199975</v>
      </c>
    </row>
    <row r="173" spans="1:127" ht="30" customHeight="1" x14ac:dyDescent="0.25">
      <c r="A173" s="154"/>
      <c r="B173" s="176">
        <v>139</v>
      </c>
      <c r="C173" s="177" t="s">
        <v>431</v>
      </c>
      <c r="D173" s="210" t="s">
        <v>432</v>
      </c>
      <c r="E173" s="158">
        <v>25969</v>
      </c>
      <c r="F173" s="179">
        <v>1.29</v>
      </c>
      <c r="G173" s="168">
        <v>1</v>
      </c>
      <c r="H173" s="169"/>
      <c r="I173" s="169"/>
      <c r="J173" s="169"/>
      <c r="K173" s="106"/>
      <c r="L173" s="180">
        <v>1.4</v>
      </c>
      <c r="M173" s="180">
        <v>1.68</v>
      </c>
      <c r="N173" s="180">
        <v>2.23</v>
      </c>
      <c r="O173" s="181">
        <v>2.57</v>
      </c>
      <c r="P173" s="182">
        <v>7</v>
      </c>
      <c r="Q173" s="182">
        <f t="shared" si="741"/>
        <v>361130.10780000006</v>
      </c>
      <c r="R173" s="182">
        <v>2</v>
      </c>
      <c r="S173" s="182">
        <f t="shared" si="742"/>
        <v>103180.03080000001</v>
      </c>
      <c r="T173" s="182"/>
      <c r="U173" s="182">
        <f t="shared" si="743"/>
        <v>0</v>
      </c>
      <c r="V173" s="182"/>
      <c r="W173" s="183">
        <f t="shared" si="744"/>
        <v>0</v>
      </c>
      <c r="X173" s="183">
        <v>38</v>
      </c>
      <c r="Y173" s="183">
        <v>2495080.7448</v>
      </c>
      <c r="Z173" s="183">
        <v>6</v>
      </c>
      <c r="AA173" s="183">
        <v>472752.14111999993</v>
      </c>
      <c r="AB173" s="182">
        <f t="shared" si="745"/>
        <v>44</v>
      </c>
      <c r="AC173" s="182">
        <f t="shared" si="745"/>
        <v>2967832.8859199998</v>
      </c>
      <c r="AD173" s="182"/>
      <c r="AE173" s="182">
        <f t="shared" si="746"/>
        <v>0</v>
      </c>
      <c r="AF173" s="182"/>
      <c r="AG173" s="182"/>
      <c r="AH173" s="182"/>
      <c r="AI173" s="182">
        <f t="shared" si="747"/>
        <v>0</v>
      </c>
      <c r="AJ173" s="182"/>
      <c r="AK173" s="182"/>
      <c r="AL173" s="182"/>
      <c r="AM173" s="182"/>
      <c r="AN173" s="205"/>
      <c r="AO173" s="182">
        <f t="shared" si="748"/>
        <v>0</v>
      </c>
      <c r="AP173" s="182">
        <v>8</v>
      </c>
      <c r="AQ173" s="183">
        <f t="shared" si="749"/>
        <v>412720.12320000003</v>
      </c>
      <c r="AR173" s="182"/>
      <c r="AS173" s="182">
        <f t="shared" si="750"/>
        <v>0</v>
      </c>
      <c r="AT173" s="182"/>
      <c r="AU173" s="182">
        <f t="shared" si="751"/>
        <v>0</v>
      </c>
      <c r="AV173" s="254">
        <v>65</v>
      </c>
      <c r="AW173" s="182">
        <v>5121481.2999999952</v>
      </c>
      <c r="AX173" s="182"/>
      <c r="AY173" s="187">
        <f t="shared" si="752"/>
        <v>0</v>
      </c>
      <c r="AZ173" s="182"/>
      <c r="BA173" s="182">
        <f t="shared" si="753"/>
        <v>0</v>
      </c>
      <c r="BB173" s="182">
        <v>0</v>
      </c>
      <c r="BC173" s="182">
        <f t="shared" si="754"/>
        <v>0</v>
      </c>
      <c r="BD173" s="182"/>
      <c r="BE173" s="182">
        <f t="shared" si="755"/>
        <v>0</v>
      </c>
      <c r="BF173" s="182"/>
      <c r="BG173" s="182">
        <f t="shared" si="756"/>
        <v>0</v>
      </c>
      <c r="BH173" s="182"/>
      <c r="BI173" s="183">
        <f t="shared" si="757"/>
        <v>0</v>
      </c>
      <c r="BJ173" s="182"/>
      <c r="BK173" s="183">
        <f t="shared" si="758"/>
        <v>0</v>
      </c>
      <c r="BL173" s="182"/>
      <c r="BM173" s="182">
        <f t="shared" si="759"/>
        <v>0</v>
      </c>
      <c r="BN173" s="182"/>
      <c r="BO173" s="182">
        <f t="shared" si="760"/>
        <v>0</v>
      </c>
      <c r="BP173" s="182"/>
      <c r="BQ173" s="182">
        <f t="shared" si="761"/>
        <v>0</v>
      </c>
      <c r="BR173" s="182"/>
      <c r="BS173" s="183">
        <f t="shared" si="762"/>
        <v>0</v>
      </c>
      <c r="BT173" s="182"/>
      <c r="BU173" s="182">
        <f t="shared" si="763"/>
        <v>0</v>
      </c>
      <c r="BV173" s="182"/>
      <c r="BW173" s="182">
        <f t="shared" si="764"/>
        <v>0</v>
      </c>
      <c r="BX173" s="182"/>
      <c r="BY173" s="183">
        <f t="shared" si="765"/>
        <v>0</v>
      </c>
      <c r="BZ173" s="182"/>
      <c r="CA173" s="187">
        <f t="shared" si="766"/>
        <v>0</v>
      </c>
      <c r="CB173" s="182"/>
      <c r="CC173" s="182">
        <f t="shared" si="767"/>
        <v>0</v>
      </c>
      <c r="CD173" s="182"/>
      <c r="CE173" s="182">
        <f t="shared" si="768"/>
        <v>0</v>
      </c>
      <c r="CF173" s="182"/>
      <c r="CG173" s="182">
        <f t="shared" si="769"/>
        <v>0</v>
      </c>
      <c r="CH173" s="182"/>
      <c r="CI173" s="182">
        <f t="shared" si="770"/>
        <v>0</v>
      </c>
      <c r="CJ173" s="182"/>
      <c r="CK173" s="182"/>
      <c r="CL173" s="182"/>
      <c r="CM173" s="183">
        <f t="shared" si="771"/>
        <v>0</v>
      </c>
      <c r="CN173" s="182"/>
      <c r="CO173" s="183">
        <f t="shared" si="772"/>
        <v>0</v>
      </c>
      <c r="CP173" s="182"/>
      <c r="CQ173" s="182">
        <f t="shared" si="773"/>
        <v>0</v>
      </c>
      <c r="CR173" s="182"/>
      <c r="CS173" s="182">
        <f t="shared" si="774"/>
        <v>0</v>
      </c>
      <c r="CT173" s="182"/>
      <c r="CU173" s="182">
        <f t="shared" si="775"/>
        <v>0</v>
      </c>
      <c r="CV173" s="182"/>
      <c r="CW173" s="182">
        <v>0</v>
      </c>
      <c r="CX173" s="182"/>
      <c r="CY173" s="182">
        <f t="shared" si="776"/>
        <v>0</v>
      </c>
      <c r="CZ173" s="182"/>
      <c r="DA173" s="182">
        <v>0</v>
      </c>
      <c r="DB173" s="188"/>
      <c r="DC173" s="182">
        <f t="shared" si="777"/>
        <v>0</v>
      </c>
      <c r="DD173" s="182"/>
      <c r="DE173" s="187">
        <f t="shared" si="778"/>
        <v>0</v>
      </c>
      <c r="DF173" s="182"/>
      <c r="DG173" s="182">
        <f t="shared" si="779"/>
        <v>0</v>
      </c>
      <c r="DH173" s="189"/>
      <c r="DI173" s="182">
        <f t="shared" si="780"/>
        <v>0</v>
      </c>
      <c r="DJ173" s="182"/>
      <c r="DK173" s="182">
        <f t="shared" si="781"/>
        <v>0</v>
      </c>
      <c r="DL173" s="182"/>
      <c r="DM173" s="182">
        <f t="shared" si="782"/>
        <v>0</v>
      </c>
      <c r="DN173" s="182"/>
      <c r="DO173" s="190">
        <f t="shared" si="783"/>
        <v>0</v>
      </c>
      <c r="DP173" s="187"/>
      <c r="DQ173" s="187"/>
      <c r="DR173" s="183">
        <f t="shared" si="784"/>
        <v>126</v>
      </c>
      <c r="DS173" s="183">
        <f t="shared" si="784"/>
        <v>8966344.4477199949</v>
      </c>
      <c r="DT173" s="182">
        <v>125</v>
      </c>
      <c r="DU173" s="182">
        <v>8941956.6692399997</v>
      </c>
      <c r="DV173" s="167">
        <f t="shared" si="626"/>
        <v>1</v>
      </c>
      <c r="DW173" s="167">
        <f t="shared" si="626"/>
        <v>24387.778479995206</v>
      </c>
    </row>
    <row r="174" spans="1:127" ht="30" customHeight="1" x14ac:dyDescent="0.25">
      <c r="A174" s="154"/>
      <c r="B174" s="176">
        <v>140</v>
      </c>
      <c r="C174" s="177" t="s">
        <v>433</v>
      </c>
      <c r="D174" s="210" t="s">
        <v>434</v>
      </c>
      <c r="E174" s="158">
        <v>25969</v>
      </c>
      <c r="F174" s="179">
        <v>1.55</v>
      </c>
      <c r="G174" s="168">
        <v>1</v>
      </c>
      <c r="H174" s="169"/>
      <c r="I174" s="169"/>
      <c r="J174" s="169"/>
      <c r="K174" s="106"/>
      <c r="L174" s="180">
        <v>1.4</v>
      </c>
      <c r="M174" s="180">
        <v>1.68</v>
      </c>
      <c r="N174" s="180">
        <v>2.23</v>
      </c>
      <c r="O174" s="181">
        <v>2.57</v>
      </c>
      <c r="P174" s="182">
        <v>48</v>
      </c>
      <c r="Q174" s="182">
        <f t="shared" si="741"/>
        <v>2975424.1440000003</v>
      </c>
      <c r="R174" s="182"/>
      <c r="S174" s="182">
        <f t="shared" si="742"/>
        <v>0</v>
      </c>
      <c r="T174" s="182"/>
      <c r="U174" s="182">
        <f t="shared" si="743"/>
        <v>0</v>
      </c>
      <c r="V174" s="182"/>
      <c r="W174" s="183">
        <f t="shared" si="744"/>
        <v>0</v>
      </c>
      <c r="X174" s="183">
        <v>2</v>
      </c>
      <c r="Y174" s="183">
        <v>157787.644</v>
      </c>
      <c r="Z174" s="183">
        <v>0</v>
      </c>
      <c r="AA174" s="183">
        <v>0</v>
      </c>
      <c r="AB174" s="182">
        <f t="shared" si="745"/>
        <v>2</v>
      </c>
      <c r="AC174" s="182">
        <f t="shared" si="745"/>
        <v>157787.644</v>
      </c>
      <c r="AD174" s="182"/>
      <c r="AE174" s="182">
        <f t="shared" si="746"/>
        <v>0</v>
      </c>
      <c r="AF174" s="182"/>
      <c r="AG174" s="182"/>
      <c r="AH174" s="182"/>
      <c r="AI174" s="182">
        <f t="shared" si="747"/>
        <v>0</v>
      </c>
      <c r="AJ174" s="182"/>
      <c r="AK174" s="182"/>
      <c r="AL174" s="182"/>
      <c r="AM174" s="182"/>
      <c r="AN174" s="205">
        <v>5</v>
      </c>
      <c r="AO174" s="182">
        <f t="shared" si="748"/>
        <v>309940.01500000001</v>
      </c>
      <c r="AP174" s="182"/>
      <c r="AQ174" s="183">
        <f t="shared" si="749"/>
        <v>0</v>
      </c>
      <c r="AR174" s="182"/>
      <c r="AS174" s="182">
        <f t="shared" si="750"/>
        <v>0</v>
      </c>
      <c r="AT174" s="182"/>
      <c r="AU174" s="182">
        <f t="shared" si="751"/>
        <v>0</v>
      </c>
      <c r="AV174" s="186">
        <v>1</v>
      </c>
      <c r="AW174" s="182">
        <v>94672.59</v>
      </c>
      <c r="AX174" s="182"/>
      <c r="AY174" s="187">
        <f t="shared" si="752"/>
        <v>0</v>
      </c>
      <c r="AZ174" s="182"/>
      <c r="BA174" s="182">
        <f t="shared" si="753"/>
        <v>0</v>
      </c>
      <c r="BB174" s="182"/>
      <c r="BC174" s="182">
        <f t="shared" si="754"/>
        <v>0</v>
      </c>
      <c r="BD174" s="182"/>
      <c r="BE174" s="182">
        <f t="shared" si="755"/>
        <v>0</v>
      </c>
      <c r="BF174" s="182"/>
      <c r="BG174" s="182">
        <f t="shared" si="756"/>
        <v>0</v>
      </c>
      <c r="BH174" s="182"/>
      <c r="BI174" s="183">
        <f t="shared" si="757"/>
        <v>0</v>
      </c>
      <c r="BJ174" s="182"/>
      <c r="BK174" s="183">
        <f t="shared" si="758"/>
        <v>0</v>
      </c>
      <c r="BL174" s="182"/>
      <c r="BM174" s="182">
        <f t="shared" si="759"/>
        <v>0</v>
      </c>
      <c r="BN174" s="182"/>
      <c r="BO174" s="182">
        <f t="shared" si="760"/>
        <v>0</v>
      </c>
      <c r="BP174" s="182"/>
      <c r="BQ174" s="182">
        <f t="shared" si="761"/>
        <v>0</v>
      </c>
      <c r="BR174" s="182"/>
      <c r="BS174" s="183">
        <f t="shared" si="762"/>
        <v>0</v>
      </c>
      <c r="BT174" s="182"/>
      <c r="BU174" s="182">
        <f t="shared" si="763"/>
        <v>0</v>
      </c>
      <c r="BV174" s="182"/>
      <c r="BW174" s="182">
        <f t="shared" si="764"/>
        <v>0</v>
      </c>
      <c r="BX174" s="182"/>
      <c r="BY174" s="183">
        <f t="shared" si="765"/>
        <v>0</v>
      </c>
      <c r="BZ174" s="182"/>
      <c r="CA174" s="187">
        <f t="shared" si="766"/>
        <v>0</v>
      </c>
      <c r="CB174" s="182"/>
      <c r="CC174" s="182">
        <f t="shared" si="767"/>
        <v>0</v>
      </c>
      <c r="CD174" s="182"/>
      <c r="CE174" s="182">
        <f t="shared" si="768"/>
        <v>0</v>
      </c>
      <c r="CF174" s="182"/>
      <c r="CG174" s="182">
        <f t="shared" si="769"/>
        <v>0</v>
      </c>
      <c r="CH174" s="182"/>
      <c r="CI174" s="182">
        <f t="shared" si="770"/>
        <v>0</v>
      </c>
      <c r="CJ174" s="182"/>
      <c r="CK174" s="182"/>
      <c r="CL174" s="182"/>
      <c r="CM174" s="183">
        <f t="shared" si="771"/>
        <v>0</v>
      </c>
      <c r="CN174" s="182"/>
      <c r="CO174" s="183">
        <f t="shared" si="772"/>
        <v>0</v>
      </c>
      <c r="CP174" s="182"/>
      <c r="CQ174" s="182">
        <f t="shared" si="773"/>
        <v>0</v>
      </c>
      <c r="CR174" s="182"/>
      <c r="CS174" s="182">
        <f t="shared" si="774"/>
        <v>0</v>
      </c>
      <c r="CT174" s="182"/>
      <c r="CU174" s="182">
        <f t="shared" si="775"/>
        <v>0</v>
      </c>
      <c r="CV174" s="182"/>
      <c r="CW174" s="182">
        <v>0</v>
      </c>
      <c r="CX174" s="182"/>
      <c r="CY174" s="182">
        <f t="shared" si="776"/>
        <v>0</v>
      </c>
      <c r="CZ174" s="182"/>
      <c r="DA174" s="182">
        <v>0</v>
      </c>
      <c r="DB174" s="188"/>
      <c r="DC174" s="182">
        <f t="shared" si="777"/>
        <v>0</v>
      </c>
      <c r="DD174" s="182"/>
      <c r="DE174" s="187">
        <f t="shared" si="778"/>
        <v>0</v>
      </c>
      <c r="DF174" s="182"/>
      <c r="DG174" s="182">
        <f t="shared" si="779"/>
        <v>0</v>
      </c>
      <c r="DH174" s="189"/>
      <c r="DI174" s="182">
        <f t="shared" si="780"/>
        <v>0</v>
      </c>
      <c r="DJ174" s="182"/>
      <c r="DK174" s="182">
        <f t="shared" si="781"/>
        <v>0</v>
      </c>
      <c r="DL174" s="182"/>
      <c r="DM174" s="182">
        <f t="shared" si="782"/>
        <v>0</v>
      </c>
      <c r="DN174" s="182"/>
      <c r="DO174" s="190">
        <f t="shared" si="783"/>
        <v>0</v>
      </c>
      <c r="DP174" s="187"/>
      <c r="DQ174" s="187"/>
      <c r="DR174" s="183">
        <f t="shared" si="784"/>
        <v>56</v>
      </c>
      <c r="DS174" s="183">
        <f t="shared" si="784"/>
        <v>3537824.3930000002</v>
      </c>
      <c r="DT174" s="182">
        <v>57</v>
      </c>
      <c r="DU174" s="182">
        <v>3632496.9758000001</v>
      </c>
      <c r="DV174" s="167">
        <f t="shared" si="626"/>
        <v>-1</v>
      </c>
      <c r="DW174" s="167">
        <f t="shared" si="626"/>
        <v>-94672.582799999975</v>
      </c>
    </row>
    <row r="175" spans="1:127" ht="30" customHeight="1" x14ac:dyDescent="0.25">
      <c r="A175" s="154"/>
      <c r="B175" s="176">
        <v>141</v>
      </c>
      <c r="C175" s="177" t="s">
        <v>435</v>
      </c>
      <c r="D175" s="210" t="s">
        <v>436</v>
      </c>
      <c r="E175" s="158">
        <v>25969</v>
      </c>
      <c r="F175" s="179">
        <v>2.66</v>
      </c>
      <c r="G175" s="168">
        <v>1</v>
      </c>
      <c r="H175" s="169"/>
      <c r="I175" s="169"/>
      <c r="J175" s="169"/>
      <c r="K175" s="106"/>
      <c r="L175" s="180">
        <v>1.4</v>
      </c>
      <c r="M175" s="180">
        <v>1.68</v>
      </c>
      <c r="N175" s="180">
        <v>2.23</v>
      </c>
      <c r="O175" s="181">
        <v>2.57</v>
      </c>
      <c r="P175" s="182">
        <v>5</v>
      </c>
      <c r="Q175" s="182">
        <f t="shared" si="741"/>
        <v>531897.05799999996</v>
      </c>
      <c r="R175" s="182"/>
      <c r="S175" s="182">
        <f t="shared" si="742"/>
        <v>0</v>
      </c>
      <c r="T175" s="182"/>
      <c r="U175" s="182">
        <f t="shared" si="743"/>
        <v>0</v>
      </c>
      <c r="V175" s="182"/>
      <c r="W175" s="183">
        <f t="shared" si="744"/>
        <v>0</v>
      </c>
      <c r="X175" s="183">
        <v>5</v>
      </c>
      <c r="Y175" s="183">
        <v>676959.89199999988</v>
      </c>
      <c r="Z175" s="183">
        <v>0</v>
      </c>
      <c r="AA175" s="183">
        <v>0</v>
      </c>
      <c r="AB175" s="182">
        <f t="shared" si="745"/>
        <v>5</v>
      </c>
      <c r="AC175" s="182">
        <f t="shared" si="745"/>
        <v>676959.89199999988</v>
      </c>
      <c r="AD175" s="182"/>
      <c r="AE175" s="182">
        <f t="shared" si="746"/>
        <v>0</v>
      </c>
      <c r="AF175" s="182"/>
      <c r="AG175" s="182"/>
      <c r="AH175" s="182"/>
      <c r="AI175" s="182">
        <f t="shared" si="747"/>
        <v>0</v>
      </c>
      <c r="AJ175" s="182"/>
      <c r="AK175" s="182"/>
      <c r="AL175" s="182"/>
      <c r="AM175" s="182"/>
      <c r="AN175" s="205">
        <v>1</v>
      </c>
      <c r="AO175" s="182">
        <f t="shared" si="748"/>
        <v>106379.41160000002</v>
      </c>
      <c r="AP175" s="182"/>
      <c r="AQ175" s="183">
        <f t="shared" si="749"/>
        <v>0</v>
      </c>
      <c r="AR175" s="182"/>
      <c r="AS175" s="182">
        <f t="shared" si="750"/>
        <v>0</v>
      </c>
      <c r="AT175" s="182"/>
      <c r="AU175" s="182">
        <f t="shared" si="751"/>
        <v>0</v>
      </c>
      <c r="AV175" s="188">
        <v>4</v>
      </c>
      <c r="AW175" s="182">
        <v>649881.48</v>
      </c>
      <c r="AX175" s="182"/>
      <c r="AY175" s="187">
        <f t="shared" si="752"/>
        <v>0</v>
      </c>
      <c r="AZ175" s="182"/>
      <c r="BA175" s="182">
        <f t="shared" si="753"/>
        <v>0</v>
      </c>
      <c r="BB175" s="182">
        <v>0</v>
      </c>
      <c r="BC175" s="182">
        <f t="shared" si="754"/>
        <v>0</v>
      </c>
      <c r="BD175" s="182"/>
      <c r="BE175" s="182">
        <f t="shared" si="755"/>
        <v>0</v>
      </c>
      <c r="BF175" s="182"/>
      <c r="BG175" s="182">
        <f t="shared" si="756"/>
        <v>0</v>
      </c>
      <c r="BH175" s="182"/>
      <c r="BI175" s="183">
        <f t="shared" si="757"/>
        <v>0</v>
      </c>
      <c r="BJ175" s="182"/>
      <c r="BK175" s="183">
        <f t="shared" si="758"/>
        <v>0</v>
      </c>
      <c r="BL175" s="182"/>
      <c r="BM175" s="182">
        <f t="shared" si="759"/>
        <v>0</v>
      </c>
      <c r="BN175" s="182"/>
      <c r="BO175" s="182">
        <f t="shared" si="760"/>
        <v>0</v>
      </c>
      <c r="BP175" s="182"/>
      <c r="BQ175" s="182">
        <f t="shared" si="761"/>
        <v>0</v>
      </c>
      <c r="BR175" s="182"/>
      <c r="BS175" s="183">
        <f t="shared" si="762"/>
        <v>0</v>
      </c>
      <c r="BT175" s="182"/>
      <c r="BU175" s="182">
        <f t="shared" si="763"/>
        <v>0</v>
      </c>
      <c r="BV175" s="182"/>
      <c r="BW175" s="182">
        <f t="shared" si="764"/>
        <v>0</v>
      </c>
      <c r="BX175" s="182"/>
      <c r="BY175" s="183">
        <f t="shared" si="765"/>
        <v>0</v>
      </c>
      <c r="BZ175" s="182"/>
      <c r="CA175" s="187">
        <f t="shared" si="766"/>
        <v>0</v>
      </c>
      <c r="CB175" s="182"/>
      <c r="CC175" s="182">
        <f t="shared" si="767"/>
        <v>0</v>
      </c>
      <c r="CD175" s="182"/>
      <c r="CE175" s="182">
        <f t="shared" si="768"/>
        <v>0</v>
      </c>
      <c r="CF175" s="182"/>
      <c r="CG175" s="182">
        <f t="shared" si="769"/>
        <v>0</v>
      </c>
      <c r="CH175" s="182"/>
      <c r="CI175" s="182">
        <f t="shared" si="770"/>
        <v>0</v>
      </c>
      <c r="CJ175" s="182"/>
      <c r="CK175" s="182"/>
      <c r="CL175" s="182"/>
      <c r="CM175" s="183">
        <f t="shared" si="771"/>
        <v>0</v>
      </c>
      <c r="CN175" s="182"/>
      <c r="CO175" s="183">
        <f t="shared" si="772"/>
        <v>0</v>
      </c>
      <c r="CP175" s="182"/>
      <c r="CQ175" s="182">
        <f t="shared" si="773"/>
        <v>0</v>
      </c>
      <c r="CR175" s="182"/>
      <c r="CS175" s="182">
        <f t="shared" si="774"/>
        <v>0</v>
      </c>
      <c r="CT175" s="182"/>
      <c r="CU175" s="182">
        <f t="shared" si="775"/>
        <v>0</v>
      </c>
      <c r="CV175" s="182"/>
      <c r="CW175" s="182">
        <v>0</v>
      </c>
      <c r="CX175" s="182"/>
      <c r="CY175" s="182">
        <f t="shared" si="776"/>
        <v>0</v>
      </c>
      <c r="CZ175" s="182"/>
      <c r="DA175" s="182">
        <v>0</v>
      </c>
      <c r="DB175" s="188"/>
      <c r="DC175" s="182">
        <f t="shared" si="777"/>
        <v>0</v>
      </c>
      <c r="DD175" s="182"/>
      <c r="DE175" s="187">
        <f t="shared" si="778"/>
        <v>0</v>
      </c>
      <c r="DF175" s="182"/>
      <c r="DG175" s="182">
        <f t="shared" si="779"/>
        <v>0</v>
      </c>
      <c r="DH175" s="189"/>
      <c r="DI175" s="182">
        <f t="shared" si="780"/>
        <v>0</v>
      </c>
      <c r="DJ175" s="182"/>
      <c r="DK175" s="182">
        <f t="shared" si="781"/>
        <v>0</v>
      </c>
      <c r="DL175" s="182"/>
      <c r="DM175" s="182">
        <f t="shared" si="782"/>
        <v>0</v>
      </c>
      <c r="DN175" s="182"/>
      <c r="DO175" s="190">
        <f t="shared" si="783"/>
        <v>0</v>
      </c>
      <c r="DP175" s="187"/>
      <c r="DQ175" s="187"/>
      <c r="DR175" s="183">
        <f t="shared" si="784"/>
        <v>15</v>
      </c>
      <c r="DS175" s="183">
        <f t="shared" si="784"/>
        <v>1965117.8415999997</v>
      </c>
      <c r="DT175" s="182">
        <v>15</v>
      </c>
      <c r="DU175" s="182">
        <v>1965117.8579199999</v>
      </c>
      <c r="DV175" s="167">
        <f t="shared" si="626"/>
        <v>0</v>
      </c>
      <c r="DW175" s="167">
        <f t="shared" si="626"/>
        <v>-1.6320000169798732E-2</v>
      </c>
    </row>
    <row r="176" spans="1:127" ht="45" customHeight="1" x14ac:dyDescent="0.25">
      <c r="A176" s="154"/>
      <c r="B176" s="176">
        <v>142</v>
      </c>
      <c r="C176" s="177" t="s">
        <v>437</v>
      </c>
      <c r="D176" s="210" t="s">
        <v>438</v>
      </c>
      <c r="E176" s="158">
        <v>25969</v>
      </c>
      <c r="F176" s="179">
        <v>2.29</v>
      </c>
      <c r="G176" s="168">
        <v>1</v>
      </c>
      <c r="H176" s="169"/>
      <c r="I176" s="169"/>
      <c r="J176" s="169"/>
      <c r="K176" s="106"/>
      <c r="L176" s="180">
        <v>1.4</v>
      </c>
      <c r="M176" s="180">
        <v>1.68</v>
      </c>
      <c r="N176" s="180">
        <v>2.23</v>
      </c>
      <c r="O176" s="181">
        <v>2.57</v>
      </c>
      <c r="P176" s="182">
        <v>1</v>
      </c>
      <c r="Q176" s="182">
        <f t="shared" si="741"/>
        <v>91582.275400000013</v>
      </c>
      <c r="R176" s="182"/>
      <c r="S176" s="182">
        <f t="shared" si="742"/>
        <v>0</v>
      </c>
      <c r="T176" s="182"/>
      <c r="U176" s="182">
        <f t="shared" si="743"/>
        <v>0</v>
      </c>
      <c r="V176" s="182"/>
      <c r="W176" s="183">
        <f t="shared" si="744"/>
        <v>0</v>
      </c>
      <c r="X176" s="183">
        <v>34</v>
      </c>
      <c r="Y176" s="183">
        <v>3963014.8264000001</v>
      </c>
      <c r="Z176" s="183">
        <v>0</v>
      </c>
      <c r="AA176" s="183">
        <v>0</v>
      </c>
      <c r="AB176" s="182">
        <f t="shared" si="745"/>
        <v>34</v>
      </c>
      <c r="AC176" s="182">
        <f t="shared" si="745"/>
        <v>3963014.8264000001</v>
      </c>
      <c r="AD176" s="182"/>
      <c r="AE176" s="182">
        <f t="shared" si="746"/>
        <v>0</v>
      </c>
      <c r="AF176" s="182"/>
      <c r="AG176" s="182"/>
      <c r="AH176" s="182">
        <v>2</v>
      </c>
      <c r="AI176" s="182">
        <f t="shared" si="747"/>
        <v>183164.55080000003</v>
      </c>
      <c r="AJ176" s="182"/>
      <c r="AK176" s="182"/>
      <c r="AL176" s="182"/>
      <c r="AM176" s="182"/>
      <c r="AN176" s="205"/>
      <c r="AO176" s="182">
        <f t="shared" si="748"/>
        <v>0</v>
      </c>
      <c r="AP176" s="182"/>
      <c r="AQ176" s="183">
        <f t="shared" si="749"/>
        <v>0</v>
      </c>
      <c r="AR176" s="182"/>
      <c r="AS176" s="182">
        <f t="shared" si="750"/>
        <v>0</v>
      </c>
      <c r="AT176" s="182"/>
      <c r="AU176" s="182">
        <f t="shared" si="751"/>
        <v>0</v>
      </c>
      <c r="AV176" s="188">
        <v>4</v>
      </c>
      <c r="AW176" s="182">
        <v>559484.43999999994</v>
      </c>
      <c r="AX176" s="182"/>
      <c r="AY176" s="187">
        <f t="shared" si="752"/>
        <v>0</v>
      </c>
      <c r="AZ176" s="182"/>
      <c r="BA176" s="182">
        <f t="shared" si="753"/>
        <v>0</v>
      </c>
      <c r="BB176" s="182">
        <v>0</v>
      </c>
      <c r="BC176" s="182">
        <f t="shared" si="754"/>
        <v>0</v>
      </c>
      <c r="BD176" s="182"/>
      <c r="BE176" s="182">
        <f t="shared" si="755"/>
        <v>0</v>
      </c>
      <c r="BF176" s="182"/>
      <c r="BG176" s="182">
        <f t="shared" si="756"/>
        <v>0</v>
      </c>
      <c r="BH176" s="182"/>
      <c r="BI176" s="183">
        <f t="shared" si="757"/>
        <v>0</v>
      </c>
      <c r="BJ176" s="182"/>
      <c r="BK176" s="183">
        <f t="shared" si="758"/>
        <v>0</v>
      </c>
      <c r="BL176" s="182"/>
      <c r="BM176" s="182">
        <f t="shared" si="759"/>
        <v>0</v>
      </c>
      <c r="BN176" s="182"/>
      <c r="BO176" s="182">
        <f t="shared" si="760"/>
        <v>0</v>
      </c>
      <c r="BP176" s="182"/>
      <c r="BQ176" s="182">
        <f t="shared" si="761"/>
        <v>0</v>
      </c>
      <c r="BR176" s="182"/>
      <c r="BS176" s="183">
        <f t="shared" si="762"/>
        <v>0</v>
      </c>
      <c r="BT176" s="182"/>
      <c r="BU176" s="182">
        <f t="shared" si="763"/>
        <v>0</v>
      </c>
      <c r="BV176" s="182"/>
      <c r="BW176" s="182">
        <f t="shared" si="764"/>
        <v>0</v>
      </c>
      <c r="BX176" s="182"/>
      <c r="BY176" s="183">
        <f t="shared" si="765"/>
        <v>0</v>
      </c>
      <c r="BZ176" s="182"/>
      <c r="CA176" s="187">
        <f t="shared" si="766"/>
        <v>0</v>
      </c>
      <c r="CB176" s="182"/>
      <c r="CC176" s="182">
        <f t="shared" si="767"/>
        <v>0</v>
      </c>
      <c r="CD176" s="182"/>
      <c r="CE176" s="182">
        <f t="shared" si="768"/>
        <v>0</v>
      </c>
      <c r="CF176" s="182"/>
      <c r="CG176" s="182">
        <f t="shared" si="769"/>
        <v>0</v>
      </c>
      <c r="CH176" s="182"/>
      <c r="CI176" s="182">
        <f t="shared" si="770"/>
        <v>0</v>
      </c>
      <c r="CJ176" s="182"/>
      <c r="CK176" s="182"/>
      <c r="CL176" s="182"/>
      <c r="CM176" s="183">
        <f t="shared" si="771"/>
        <v>0</v>
      </c>
      <c r="CN176" s="182"/>
      <c r="CO176" s="183">
        <f t="shared" si="772"/>
        <v>0</v>
      </c>
      <c r="CP176" s="182"/>
      <c r="CQ176" s="182">
        <f t="shared" si="773"/>
        <v>0</v>
      </c>
      <c r="CR176" s="182"/>
      <c r="CS176" s="182">
        <f t="shared" si="774"/>
        <v>0</v>
      </c>
      <c r="CT176" s="182"/>
      <c r="CU176" s="182">
        <f t="shared" si="775"/>
        <v>0</v>
      </c>
      <c r="CV176" s="182"/>
      <c r="CW176" s="182">
        <v>0</v>
      </c>
      <c r="CX176" s="182"/>
      <c r="CY176" s="182">
        <f t="shared" si="776"/>
        <v>0</v>
      </c>
      <c r="CZ176" s="182"/>
      <c r="DA176" s="182">
        <v>0</v>
      </c>
      <c r="DB176" s="188"/>
      <c r="DC176" s="182">
        <f t="shared" si="777"/>
        <v>0</v>
      </c>
      <c r="DD176" s="182"/>
      <c r="DE176" s="187">
        <f t="shared" si="778"/>
        <v>0</v>
      </c>
      <c r="DF176" s="182"/>
      <c r="DG176" s="182">
        <f t="shared" si="779"/>
        <v>0</v>
      </c>
      <c r="DH176" s="189"/>
      <c r="DI176" s="182">
        <f t="shared" si="780"/>
        <v>0</v>
      </c>
      <c r="DJ176" s="182"/>
      <c r="DK176" s="182">
        <f t="shared" si="781"/>
        <v>0</v>
      </c>
      <c r="DL176" s="182"/>
      <c r="DM176" s="182">
        <f t="shared" si="782"/>
        <v>0</v>
      </c>
      <c r="DN176" s="182"/>
      <c r="DO176" s="190">
        <f t="shared" si="783"/>
        <v>0</v>
      </c>
      <c r="DP176" s="187"/>
      <c r="DQ176" s="187"/>
      <c r="DR176" s="183">
        <f t="shared" si="784"/>
        <v>41</v>
      </c>
      <c r="DS176" s="183">
        <f t="shared" si="784"/>
        <v>4797246.092600001</v>
      </c>
      <c r="DT176" s="182">
        <v>39</v>
      </c>
      <c r="DU176" s="182">
        <v>4517503.8756400002</v>
      </c>
      <c r="DV176" s="167">
        <f t="shared" si="626"/>
        <v>2</v>
      </c>
      <c r="DW176" s="167">
        <f t="shared" si="626"/>
        <v>279742.21696000081</v>
      </c>
    </row>
    <row r="177" spans="1:127" ht="45" customHeight="1" x14ac:dyDescent="0.25">
      <c r="A177" s="154"/>
      <c r="B177" s="176">
        <v>143</v>
      </c>
      <c r="C177" s="177" t="s">
        <v>439</v>
      </c>
      <c r="D177" s="210" t="s">
        <v>440</v>
      </c>
      <c r="E177" s="158">
        <v>25969</v>
      </c>
      <c r="F177" s="179">
        <v>2.4900000000000002</v>
      </c>
      <c r="G177" s="168">
        <v>1</v>
      </c>
      <c r="H177" s="169"/>
      <c r="I177" s="169"/>
      <c r="J177" s="169"/>
      <c r="K177" s="106"/>
      <c r="L177" s="180">
        <v>1.4</v>
      </c>
      <c r="M177" s="180">
        <v>1.68</v>
      </c>
      <c r="N177" s="180">
        <v>2.23</v>
      </c>
      <c r="O177" s="181">
        <v>2.57</v>
      </c>
      <c r="P177" s="182">
        <v>1</v>
      </c>
      <c r="Q177" s="182">
        <f t="shared" si="741"/>
        <v>99580.727400000018</v>
      </c>
      <c r="R177" s="182"/>
      <c r="S177" s="182">
        <f t="shared" si="742"/>
        <v>0</v>
      </c>
      <c r="T177" s="182"/>
      <c r="U177" s="182">
        <f t="shared" si="743"/>
        <v>0</v>
      </c>
      <c r="V177" s="182"/>
      <c r="W177" s="183">
        <f t="shared" si="744"/>
        <v>0</v>
      </c>
      <c r="X177" s="183">
        <v>38</v>
      </c>
      <c r="Y177" s="183">
        <v>4816086.0888</v>
      </c>
      <c r="Z177" s="183">
        <v>1</v>
      </c>
      <c r="AA177" s="183">
        <v>152086.92911999999</v>
      </c>
      <c r="AB177" s="182">
        <f t="shared" si="745"/>
        <v>39</v>
      </c>
      <c r="AC177" s="182">
        <f t="shared" si="745"/>
        <v>4968173.0179200005</v>
      </c>
      <c r="AD177" s="182"/>
      <c r="AE177" s="182">
        <f t="shared" si="746"/>
        <v>0</v>
      </c>
      <c r="AF177" s="182"/>
      <c r="AG177" s="182"/>
      <c r="AH177" s="182">
        <v>3</v>
      </c>
      <c r="AI177" s="182">
        <f t="shared" si="747"/>
        <v>298742.18220000004</v>
      </c>
      <c r="AJ177" s="182"/>
      <c r="AK177" s="182"/>
      <c r="AL177" s="182"/>
      <c r="AM177" s="182"/>
      <c r="AN177" s="205"/>
      <c r="AO177" s="182">
        <f t="shared" si="748"/>
        <v>0</v>
      </c>
      <c r="AP177" s="182"/>
      <c r="AQ177" s="183">
        <f t="shared" si="749"/>
        <v>0</v>
      </c>
      <c r="AR177" s="182"/>
      <c r="AS177" s="182">
        <f t="shared" si="750"/>
        <v>0</v>
      </c>
      <c r="AT177" s="182"/>
      <c r="AU177" s="182">
        <f t="shared" si="751"/>
        <v>0</v>
      </c>
      <c r="AV177" s="188">
        <v>6</v>
      </c>
      <c r="AW177" s="182">
        <v>912521.57999999984</v>
      </c>
      <c r="AX177" s="182"/>
      <c r="AY177" s="187">
        <f t="shared" si="752"/>
        <v>0</v>
      </c>
      <c r="AZ177" s="182"/>
      <c r="BA177" s="182">
        <f t="shared" si="753"/>
        <v>0</v>
      </c>
      <c r="BB177" s="182">
        <v>0</v>
      </c>
      <c r="BC177" s="182">
        <f t="shared" si="754"/>
        <v>0</v>
      </c>
      <c r="BD177" s="182"/>
      <c r="BE177" s="182">
        <f t="shared" si="755"/>
        <v>0</v>
      </c>
      <c r="BF177" s="182"/>
      <c r="BG177" s="182">
        <f t="shared" si="756"/>
        <v>0</v>
      </c>
      <c r="BH177" s="182"/>
      <c r="BI177" s="183">
        <f t="shared" si="757"/>
        <v>0</v>
      </c>
      <c r="BJ177" s="182"/>
      <c r="BK177" s="183">
        <f t="shared" si="758"/>
        <v>0</v>
      </c>
      <c r="BL177" s="182"/>
      <c r="BM177" s="182">
        <f t="shared" si="759"/>
        <v>0</v>
      </c>
      <c r="BN177" s="182"/>
      <c r="BO177" s="182">
        <f t="shared" si="760"/>
        <v>0</v>
      </c>
      <c r="BP177" s="182"/>
      <c r="BQ177" s="182">
        <f t="shared" si="761"/>
        <v>0</v>
      </c>
      <c r="BR177" s="182"/>
      <c r="BS177" s="183">
        <f t="shared" si="762"/>
        <v>0</v>
      </c>
      <c r="BT177" s="182"/>
      <c r="BU177" s="182">
        <f t="shared" si="763"/>
        <v>0</v>
      </c>
      <c r="BV177" s="182"/>
      <c r="BW177" s="182">
        <f t="shared" si="764"/>
        <v>0</v>
      </c>
      <c r="BX177" s="182"/>
      <c r="BY177" s="183">
        <f t="shared" si="765"/>
        <v>0</v>
      </c>
      <c r="BZ177" s="182"/>
      <c r="CA177" s="187">
        <f t="shared" si="766"/>
        <v>0</v>
      </c>
      <c r="CB177" s="182"/>
      <c r="CC177" s="182">
        <f t="shared" si="767"/>
        <v>0</v>
      </c>
      <c r="CD177" s="182"/>
      <c r="CE177" s="182">
        <f t="shared" si="768"/>
        <v>0</v>
      </c>
      <c r="CF177" s="182"/>
      <c r="CG177" s="182">
        <f t="shared" si="769"/>
        <v>0</v>
      </c>
      <c r="CH177" s="182"/>
      <c r="CI177" s="182">
        <f t="shared" si="770"/>
        <v>0</v>
      </c>
      <c r="CJ177" s="182"/>
      <c r="CK177" s="182"/>
      <c r="CL177" s="182"/>
      <c r="CM177" s="183">
        <f t="shared" si="771"/>
        <v>0</v>
      </c>
      <c r="CN177" s="182"/>
      <c r="CO177" s="183">
        <f t="shared" si="772"/>
        <v>0</v>
      </c>
      <c r="CP177" s="182"/>
      <c r="CQ177" s="182">
        <f t="shared" si="773"/>
        <v>0</v>
      </c>
      <c r="CR177" s="182"/>
      <c r="CS177" s="182">
        <f t="shared" si="774"/>
        <v>0</v>
      </c>
      <c r="CT177" s="182"/>
      <c r="CU177" s="182">
        <f t="shared" si="775"/>
        <v>0</v>
      </c>
      <c r="CV177" s="182"/>
      <c r="CW177" s="182">
        <v>0</v>
      </c>
      <c r="CX177" s="182"/>
      <c r="CY177" s="182">
        <f t="shared" si="776"/>
        <v>0</v>
      </c>
      <c r="CZ177" s="182"/>
      <c r="DA177" s="182">
        <v>0</v>
      </c>
      <c r="DB177" s="188"/>
      <c r="DC177" s="182">
        <f t="shared" si="777"/>
        <v>0</v>
      </c>
      <c r="DD177" s="182"/>
      <c r="DE177" s="187">
        <f t="shared" si="778"/>
        <v>0</v>
      </c>
      <c r="DF177" s="182"/>
      <c r="DG177" s="182">
        <f t="shared" si="779"/>
        <v>0</v>
      </c>
      <c r="DH177" s="189"/>
      <c r="DI177" s="182">
        <f t="shared" si="780"/>
        <v>0</v>
      </c>
      <c r="DJ177" s="182"/>
      <c r="DK177" s="182">
        <f t="shared" si="781"/>
        <v>0</v>
      </c>
      <c r="DL177" s="182"/>
      <c r="DM177" s="182">
        <f t="shared" si="782"/>
        <v>0</v>
      </c>
      <c r="DN177" s="182"/>
      <c r="DO177" s="190">
        <f t="shared" si="783"/>
        <v>0</v>
      </c>
      <c r="DP177" s="187"/>
      <c r="DQ177" s="187"/>
      <c r="DR177" s="183">
        <f t="shared" si="784"/>
        <v>49</v>
      </c>
      <c r="DS177" s="183">
        <f t="shared" si="784"/>
        <v>6279017.5075200005</v>
      </c>
      <c r="DT177" s="182">
        <v>50</v>
      </c>
      <c r="DU177" s="182">
        <v>6431104.4313599998</v>
      </c>
      <c r="DV177" s="167">
        <f t="shared" si="626"/>
        <v>-1</v>
      </c>
      <c r="DW177" s="167">
        <f t="shared" si="626"/>
        <v>-152086.92383999936</v>
      </c>
    </row>
    <row r="178" spans="1:127" ht="45" customHeight="1" x14ac:dyDescent="0.25">
      <c r="A178" s="154"/>
      <c r="B178" s="176">
        <v>144</v>
      </c>
      <c r="C178" s="177" t="s">
        <v>441</v>
      </c>
      <c r="D178" s="210" t="s">
        <v>442</v>
      </c>
      <c r="E178" s="158">
        <v>25969</v>
      </c>
      <c r="F178" s="179">
        <v>2.79</v>
      </c>
      <c r="G178" s="168">
        <v>1</v>
      </c>
      <c r="H178" s="169"/>
      <c r="I178" s="169"/>
      <c r="J178" s="169"/>
      <c r="K178" s="106"/>
      <c r="L178" s="180">
        <v>1.4</v>
      </c>
      <c r="M178" s="180">
        <v>1.68</v>
      </c>
      <c r="N178" s="180">
        <v>2.23</v>
      </c>
      <c r="O178" s="181">
        <v>2.57</v>
      </c>
      <c r="P178" s="182">
        <v>0</v>
      </c>
      <c r="Q178" s="182">
        <f t="shared" si="741"/>
        <v>0</v>
      </c>
      <c r="R178" s="182"/>
      <c r="S178" s="182">
        <f t="shared" si="742"/>
        <v>0</v>
      </c>
      <c r="T178" s="182"/>
      <c r="U178" s="182">
        <f t="shared" si="743"/>
        <v>0</v>
      </c>
      <c r="V178" s="182"/>
      <c r="W178" s="183">
        <f t="shared" si="744"/>
        <v>0</v>
      </c>
      <c r="X178" s="183">
        <v>320</v>
      </c>
      <c r="Y178" s="183">
        <v>45442841.471999995</v>
      </c>
      <c r="Z178" s="183">
        <v>11</v>
      </c>
      <c r="AA178" s="183">
        <v>1874517.2107199996</v>
      </c>
      <c r="AB178" s="182">
        <f t="shared" si="745"/>
        <v>331</v>
      </c>
      <c r="AC178" s="182">
        <f t="shared" si="745"/>
        <v>47317358.682719998</v>
      </c>
      <c r="AD178" s="182"/>
      <c r="AE178" s="182">
        <f t="shared" si="746"/>
        <v>0</v>
      </c>
      <c r="AF178" s="182"/>
      <c r="AG178" s="182"/>
      <c r="AH178" s="182">
        <v>5</v>
      </c>
      <c r="AI178" s="182">
        <f t="shared" si="747"/>
        <v>557892.027</v>
      </c>
      <c r="AJ178" s="182"/>
      <c r="AK178" s="182"/>
      <c r="AL178" s="182"/>
      <c r="AM178" s="182"/>
      <c r="AN178" s="205"/>
      <c r="AO178" s="182">
        <f t="shared" si="748"/>
        <v>0</v>
      </c>
      <c r="AP178" s="182"/>
      <c r="AQ178" s="183">
        <f t="shared" si="749"/>
        <v>0</v>
      </c>
      <c r="AR178" s="182"/>
      <c r="AS178" s="182">
        <f t="shared" si="750"/>
        <v>0</v>
      </c>
      <c r="AT178" s="182"/>
      <c r="AU178" s="182">
        <f t="shared" si="751"/>
        <v>0</v>
      </c>
      <c r="AV178" s="254">
        <v>123</v>
      </c>
      <c r="AW178" s="182">
        <v>20960511.180000015</v>
      </c>
      <c r="AX178" s="182"/>
      <c r="AY178" s="187">
        <f t="shared" si="752"/>
        <v>0</v>
      </c>
      <c r="AZ178" s="182"/>
      <c r="BA178" s="182">
        <f t="shared" si="753"/>
        <v>0</v>
      </c>
      <c r="BB178" s="182">
        <v>0</v>
      </c>
      <c r="BC178" s="182">
        <f t="shared" si="754"/>
        <v>0</v>
      </c>
      <c r="BD178" s="182"/>
      <c r="BE178" s="182">
        <f t="shared" si="755"/>
        <v>0</v>
      </c>
      <c r="BF178" s="182"/>
      <c r="BG178" s="182">
        <f t="shared" si="756"/>
        <v>0</v>
      </c>
      <c r="BH178" s="182"/>
      <c r="BI178" s="183">
        <f t="shared" si="757"/>
        <v>0</v>
      </c>
      <c r="BJ178" s="182"/>
      <c r="BK178" s="183">
        <f t="shared" si="758"/>
        <v>0</v>
      </c>
      <c r="BL178" s="182"/>
      <c r="BM178" s="182">
        <f t="shared" si="759"/>
        <v>0</v>
      </c>
      <c r="BN178" s="182"/>
      <c r="BO178" s="182">
        <f t="shared" si="760"/>
        <v>0</v>
      </c>
      <c r="BP178" s="182"/>
      <c r="BQ178" s="182">
        <f t="shared" si="761"/>
        <v>0</v>
      </c>
      <c r="BR178" s="182"/>
      <c r="BS178" s="183">
        <f t="shared" si="762"/>
        <v>0</v>
      </c>
      <c r="BT178" s="182"/>
      <c r="BU178" s="182">
        <f t="shared" si="763"/>
        <v>0</v>
      </c>
      <c r="BV178" s="182"/>
      <c r="BW178" s="182">
        <f t="shared" si="764"/>
        <v>0</v>
      </c>
      <c r="BX178" s="182"/>
      <c r="BY178" s="183">
        <f t="shared" si="765"/>
        <v>0</v>
      </c>
      <c r="BZ178" s="182"/>
      <c r="CA178" s="187">
        <f t="shared" si="766"/>
        <v>0</v>
      </c>
      <c r="CB178" s="182"/>
      <c r="CC178" s="182">
        <f t="shared" si="767"/>
        <v>0</v>
      </c>
      <c r="CD178" s="182"/>
      <c r="CE178" s="182">
        <f t="shared" si="768"/>
        <v>0</v>
      </c>
      <c r="CF178" s="182"/>
      <c r="CG178" s="182">
        <f t="shared" si="769"/>
        <v>0</v>
      </c>
      <c r="CH178" s="182"/>
      <c r="CI178" s="182">
        <f t="shared" si="770"/>
        <v>0</v>
      </c>
      <c r="CJ178" s="182"/>
      <c r="CK178" s="182"/>
      <c r="CL178" s="182"/>
      <c r="CM178" s="183">
        <f t="shared" si="771"/>
        <v>0</v>
      </c>
      <c r="CN178" s="182"/>
      <c r="CO178" s="183">
        <f t="shared" si="772"/>
        <v>0</v>
      </c>
      <c r="CP178" s="182"/>
      <c r="CQ178" s="182">
        <f t="shared" si="773"/>
        <v>0</v>
      </c>
      <c r="CR178" s="182"/>
      <c r="CS178" s="182">
        <f t="shared" si="774"/>
        <v>0</v>
      </c>
      <c r="CT178" s="182"/>
      <c r="CU178" s="182">
        <f t="shared" si="775"/>
        <v>0</v>
      </c>
      <c r="CV178" s="182"/>
      <c r="CW178" s="182">
        <v>0</v>
      </c>
      <c r="CX178" s="182"/>
      <c r="CY178" s="182">
        <f t="shared" si="776"/>
        <v>0</v>
      </c>
      <c r="CZ178" s="182"/>
      <c r="DA178" s="182">
        <v>0</v>
      </c>
      <c r="DB178" s="188"/>
      <c r="DC178" s="182">
        <f t="shared" si="777"/>
        <v>0</v>
      </c>
      <c r="DD178" s="182"/>
      <c r="DE178" s="187">
        <f t="shared" si="778"/>
        <v>0</v>
      </c>
      <c r="DF178" s="182"/>
      <c r="DG178" s="182">
        <f t="shared" si="779"/>
        <v>0</v>
      </c>
      <c r="DH178" s="189"/>
      <c r="DI178" s="182">
        <f t="shared" si="780"/>
        <v>0</v>
      </c>
      <c r="DJ178" s="182"/>
      <c r="DK178" s="182">
        <f t="shared" si="781"/>
        <v>0</v>
      </c>
      <c r="DL178" s="182"/>
      <c r="DM178" s="182">
        <f t="shared" si="782"/>
        <v>0</v>
      </c>
      <c r="DN178" s="182"/>
      <c r="DO178" s="190">
        <f t="shared" si="783"/>
        <v>0</v>
      </c>
      <c r="DP178" s="187"/>
      <c r="DQ178" s="187"/>
      <c r="DR178" s="183">
        <f t="shared" si="784"/>
        <v>459</v>
      </c>
      <c r="DS178" s="183">
        <f t="shared" si="784"/>
        <v>68835761.889720023</v>
      </c>
      <c r="DT178" s="182">
        <v>455</v>
      </c>
      <c r="DU178" s="182">
        <v>68154118.716600001</v>
      </c>
      <c r="DV178" s="167">
        <f t="shared" si="626"/>
        <v>4</v>
      </c>
      <c r="DW178" s="167">
        <f t="shared" si="626"/>
        <v>681643.17312002182</v>
      </c>
    </row>
    <row r="179" spans="1:127" ht="45" customHeight="1" x14ac:dyDescent="0.25">
      <c r="A179" s="154"/>
      <c r="B179" s="176">
        <v>145</v>
      </c>
      <c r="C179" s="177" t="s">
        <v>443</v>
      </c>
      <c r="D179" s="210" t="s">
        <v>444</v>
      </c>
      <c r="E179" s="158">
        <v>25969</v>
      </c>
      <c r="F179" s="179">
        <v>3.95</v>
      </c>
      <c r="G179" s="168">
        <v>1</v>
      </c>
      <c r="H179" s="169"/>
      <c r="I179" s="169"/>
      <c r="J179" s="169"/>
      <c r="K179" s="106"/>
      <c r="L179" s="180">
        <v>1.4</v>
      </c>
      <c r="M179" s="180">
        <v>1.68</v>
      </c>
      <c r="N179" s="180">
        <v>2.23</v>
      </c>
      <c r="O179" s="181">
        <v>2.57</v>
      </c>
      <c r="P179" s="182">
        <v>0</v>
      </c>
      <c r="Q179" s="182">
        <f t="shared" si="741"/>
        <v>0</v>
      </c>
      <c r="R179" s="182"/>
      <c r="S179" s="182">
        <f t="shared" si="742"/>
        <v>0</v>
      </c>
      <c r="T179" s="182"/>
      <c r="U179" s="182">
        <f t="shared" si="743"/>
        <v>0</v>
      </c>
      <c r="V179" s="182"/>
      <c r="W179" s="183">
        <f t="shared" si="744"/>
        <v>0</v>
      </c>
      <c r="X179" s="183">
        <v>10</v>
      </c>
      <c r="Y179" s="183">
        <v>2010519.9799999997</v>
      </c>
      <c r="Z179" s="183">
        <v>0</v>
      </c>
      <c r="AA179" s="183">
        <v>0</v>
      </c>
      <c r="AB179" s="182">
        <f t="shared" si="745"/>
        <v>10</v>
      </c>
      <c r="AC179" s="182">
        <f t="shared" si="745"/>
        <v>2010519.9799999997</v>
      </c>
      <c r="AD179" s="182"/>
      <c r="AE179" s="182">
        <f t="shared" si="746"/>
        <v>0</v>
      </c>
      <c r="AF179" s="182"/>
      <c r="AG179" s="182"/>
      <c r="AH179" s="182"/>
      <c r="AI179" s="182">
        <f t="shared" si="747"/>
        <v>0</v>
      </c>
      <c r="AJ179" s="182"/>
      <c r="AK179" s="182"/>
      <c r="AL179" s="182"/>
      <c r="AM179" s="182"/>
      <c r="AN179" s="205"/>
      <c r="AO179" s="182">
        <f t="shared" si="748"/>
        <v>0</v>
      </c>
      <c r="AP179" s="182"/>
      <c r="AQ179" s="183">
        <f t="shared" si="749"/>
        <v>0</v>
      </c>
      <c r="AR179" s="182"/>
      <c r="AS179" s="182">
        <f t="shared" si="750"/>
        <v>0</v>
      </c>
      <c r="AT179" s="182"/>
      <c r="AU179" s="182">
        <f t="shared" si="751"/>
        <v>0</v>
      </c>
      <c r="AV179" s="188">
        <v>0</v>
      </c>
      <c r="AW179" s="182">
        <v>0</v>
      </c>
      <c r="AX179" s="182"/>
      <c r="AY179" s="187">
        <f t="shared" si="752"/>
        <v>0</v>
      </c>
      <c r="AZ179" s="182"/>
      <c r="BA179" s="182">
        <f t="shared" si="753"/>
        <v>0</v>
      </c>
      <c r="BB179" s="182">
        <v>0</v>
      </c>
      <c r="BC179" s="182">
        <f t="shared" si="754"/>
        <v>0</v>
      </c>
      <c r="BD179" s="182"/>
      <c r="BE179" s="182">
        <f t="shared" si="755"/>
        <v>0</v>
      </c>
      <c r="BF179" s="182"/>
      <c r="BG179" s="182">
        <f t="shared" si="756"/>
        <v>0</v>
      </c>
      <c r="BH179" s="182"/>
      <c r="BI179" s="183">
        <f t="shared" si="757"/>
        <v>0</v>
      </c>
      <c r="BJ179" s="182"/>
      <c r="BK179" s="183">
        <f t="shared" si="758"/>
        <v>0</v>
      </c>
      <c r="BL179" s="182"/>
      <c r="BM179" s="182">
        <f t="shared" si="759"/>
        <v>0</v>
      </c>
      <c r="BN179" s="182"/>
      <c r="BO179" s="182">
        <f t="shared" si="760"/>
        <v>0</v>
      </c>
      <c r="BP179" s="182"/>
      <c r="BQ179" s="182">
        <f t="shared" si="761"/>
        <v>0</v>
      </c>
      <c r="BR179" s="182"/>
      <c r="BS179" s="183">
        <f t="shared" si="762"/>
        <v>0</v>
      </c>
      <c r="BT179" s="182"/>
      <c r="BU179" s="182">
        <f t="shared" si="763"/>
        <v>0</v>
      </c>
      <c r="BV179" s="182"/>
      <c r="BW179" s="182">
        <f t="shared" si="764"/>
        <v>0</v>
      </c>
      <c r="BX179" s="182"/>
      <c r="BY179" s="183">
        <f t="shared" si="765"/>
        <v>0</v>
      </c>
      <c r="BZ179" s="182"/>
      <c r="CA179" s="187">
        <f t="shared" si="766"/>
        <v>0</v>
      </c>
      <c r="CB179" s="182"/>
      <c r="CC179" s="182">
        <f t="shared" si="767"/>
        <v>0</v>
      </c>
      <c r="CD179" s="182"/>
      <c r="CE179" s="182">
        <f t="shared" si="768"/>
        <v>0</v>
      </c>
      <c r="CF179" s="182"/>
      <c r="CG179" s="182">
        <f t="shared" si="769"/>
        <v>0</v>
      </c>
      <c r="CH179" s="182"/>
      <c r="CI179" s="182">
        <f t="shared" si="770"/>
        <v>0</v>
      </c>
      <c r="CJ179" s="182"/>
      <c r="CK179" s="182"/>
      <c r="CL179" s="182"/>
      <c r="CM179" s="183">
        <f t="shared" si="771"/>
        <v>0</v>
      </c>
      <c r="CN179" s="182"/>
      <c r="CO179" s="183">
        <f t="shared" si="772"/>
        <v>0</v>
      </c>
      <c r="CP179" s="182"/>
      <c r="CQ179" s="182">
        <f t="shared" si="773"/>
        <v>0</v>
      </c>
      <c r="CR179" s="182"/>
      <c r="CS179" s="182">
        <f t="shared" si="774"/>
        <v>0</v>
      </c>
      <c r="CT179" s="182"/>
      <c r="CU179" s="182">
        <f t="shared" si="775"/>
        <v>0</v>
      </c>
      <c r="CV179" s="182"/>
      <c r="CW179" s="182">
        <v>0</v>
      </c>
      <c r="CX179" s="182"/>
      <c r="CY179" s="182">
        <f t="shared" si="776"/>
        <v>0</v>
      </c>
      <c r="CZ179" s="182"/>
      <c r="DA179" s="182">
        <v>0</v>
      </c>
      <c r="DB179" s="188"/>
      <c r="DC179" s="182">
        <f t="shared" si="777"/>
        <v>0</v>
      </c>
      <c r="DD179" s="182"/>
      <c r="DE179" s="187">
        <f t="shared" si="778"/>
        <v>0</v>
      </c>
      <c r="DF179" s="182"/>
      <c r="DG179" s="182">
        <f t="shared" si="779"/>
        <v>0</v>
      </c>
      <c r="DH179" s="189"/>
      <c r="DI179" s="182">
        <f t="shared" si="780"/>
        <v>0</v>
      </c>
      <c r="DJ179" s="182"/>
      <c r="DK179" s="182">
        <f t="shared" si="781"/>
        <v>0</v>
      </c>
      <c r="DL179" s="182"/>
      <c r="DM179" s="182">
        <f t="shared" si="782"/>
        <v>0</v>
      </c>
      <c r="DN179" s="182"/>
      <c r="DO179" s="190">
        <f t="shared" si="783"/>
        <v>0</v>
      </c>
      <c r="DP179" s="187"/>
      <c r="DQ179" s="187"/>
      <c r="DR179" s="183">
        <f t="shared" si="784"/>
        <v>10</v>
      </c>
      <c r="DS179" s="183">
        <f t="shared" si="784"/>
        <v>2010519.9799999997</v>
      </c>
      <c r="DT179" s="182">
        <v>10</v>
      </c>
      <c r="DU179" s="182">
        <v>2010519.9799999997</v>
      </c>
      <c r="DV179" s="167">
        <f t="shared" si="626"/>
        <v>0</v>
      </c>
      <c r="DW179" s="167">
        <f t="shared" si="626"/>
        <v>0</v>
      </c>
    </row>
    <row r="180" spans="1:127" ht="60" x14ac:dyDescent="0.25">
      <c r="A180" s="154"/>
      <c r="B180" s="176">
        <v>146</v>
      </c>
      <c r="C180" s="177" t="s">
        <v>445</v>
      </c>
      <c r="D180" s="210" t="s">
        <v>446</v>
      </c>
      <c r="E180" s="158">
        <v>25969</v>
      </c>
      <c r="F180" s="179">
        <v>2.38</v>
      </c>
      <c r="G180" s="168">
        <v>1</v>
      </c>
      <c r="H180" s="169"/>
      <c r="I180" s="169"/>
      <c r="J180" s="169"/>
      <c r="K180" s="106"/>
      <c r="L180" s="180">
        <v>1.4</v>
      </c>
      <c r="M180" s="180">
        <v>1.68</v>
      </c>
      <c r="N180" s="180">
        <v>2.23</v>
      </c>
      <c r="O180" s="181">
        <v>2.57</v>
      </c>
      <c r="P180" s="182">
        <v>5</v>
      </c>
      <c r="Q180" s="182">
        <f t="shared" si="741"/>
        <v>475907.89399999997</v>
      </c>
      <c r="R180" s="182"/>
      <c r="S180" s="182">
        <f t="shared" si="742"/>
        <v>0</v>
      </c>
      <c r="T180" s="182"/>
      <c r="U180" s="182">
        <f t="shared" si="743"/>
        <v>0</v>
      </c>
      <c r="V180" s="182"/>
      <c r="W180" s="183">
        <f t="shared" si="744"/>
        <v>0</v>
      </c>
      <c r="X180" s="183"/>
      <c r="Y180" s="183">
        <v>0</v>
      </c>
      <c r="Z180" s="183">
        <v>0</v>
      </c>
      <c r="AA180" s="183">
        <v>0</v>
      </c>
      <c r="AB180" s="182">
        <f t="shared" si="745"/>
        <v>0</v>
      </c>
      <c r="AC180" s="182">
        <f t="shared" si="745"/>
        <v>0</v>
      </c>
      <c r="AD180" s="182"/>
      <c r="AE180" s="182">
        <f t="shared" si="746"/>
        <v>0</v>
      </c>
      <c r="AF180" s="209"/>
      <c r="AG180" s="182"/>
      <c r="AH180" s="182">
        <v>5</v>
      </c>
      <c r="AI180" s="182">
        <f t="shared" si="747"/>
        <v>475907.89399999997</v>
      </c>
      <c r="AJ180" s="182"/>
      <c r="AK180" s="182"/>
      <c r="AL180" s="209"/>
      <c r="AM180" s="182"/>
      <c r="AN180" s="205"/>
      <c r="AO180" s="182">
        <f t="shared" si="748"/>
        <v>0</v>
      </c>
      <c r="AP180" s="182">
        <v>7</v>
      </c>
      <c r="AQ180" s="183">
        <f t="shared" si="749"/>
        <v>666271.05159999989</v>
      </c>
      <c r="AR180" s="182"/>
      <c r="AS180" s="182">
        <f t="shared" si="750"/>
        <v>0</v>
      </c>
      <c r="AT180" s="182"/>
      <c r="AU180" s="182">
        <f t="shared" si="751"/>
        <v>0</v>
      </c>
      <c r="AV180" s="188">
        <v>0</v>
      </c>
      <c r="AW180" s="182">
        <v>0</v>
      </c>
      <c r="AX180" s="209"/>
      <c r="AY180" s="187">
        <f t="shared" si="752"/>
        <v>0</v>
      </c>
      <c r="AZ180" s="209"/>
      <c r="BA180" s="182">
        <f t="shared" si="753"/>
        <v>0</v>
      </c>
      <c r="BB180" s="209">
        <v>0</v>
      </c>
      <c r="BC180" s="182">
        <f t="shared" si="754"/>
        <v>0</v>
      </c>
      <c r="BD180" s="182"/>
      <c r="BE180" s="182">
        <f t="shared" si="755"/>
        <v>0</v>
      </c>
      <c r="BF180" s="209"/>
      <c r="BG180" s="182">
        <f t="shared" si="756"/>
        <v>0</v>
      </c>
      <c r="BH180" s="209"/>
      <c r="BI180" s="183">
        <f t="shared" si="757"/>
        <v>0</v>
      </c>
      <c r="BJ180" s="209"/>
      <c r="BK180" s="183">
        <f t="shared" si="758"/>
        <v>0</v>
      </c>
      <c r="BL180" s="209"/>
      <c r="BM180" s="182">
        <f t="shared" si="759"/>
        <v>0</v>
      </c>
      <c r="BN180" s="182"/>
      <c r="BO180" s="182">
        <f t="shared" si="760"/>
        <v>0</v>
      </c>
      <c r="BP180" s="209"/>
      <c r="BQ180" s="182">
        <f t="shared" si="761"/>
        <v>0</v>
      </c>
      <c r="BR180" s="209"/>
      <c r="BS180" s="183">
        <f t="shared" si="762"/>
        <v>0</v>
      </c>
      <c r="BT180" s="209"/>
      <c r="BU180" s="182">
        <f t="shared" si="763"/>
        <v>0</v>
      </c>
      <c r="BV180" s="209"/>
      <c r="BW180" s="182">
        <f t="shared" si="764"/>
        <v>0</v>
      </c>
      <c r="BX180" s="209"/>
      <c r="BY180" s="183">
        <f t="shared" si="765"/>
        <v>0</v>
      </c>
      <c r="BZ180" s="182"/>
      <c r="CA180" s="187">
        <f t="shared" si="766"/>
        <v>0</v>
      </c>
      <c r="CB180" s="209"/>
      <c r="CC180" s="182">
        <f t="shared" si="767"/>
        <v>0</v>
      </c>
      <c r="CD180" s="209"/>
      <c r="CE180" s="182">
        <f t="shared" si="768"/>
        <v>0</v>
      </c>
      <c r="CF180" s="209"/>
      <c r="CG180" s="182">
        <f t="shared" si="769"/>
        <v>0</v>
      </c>
      <c r="CH180" s="209"/>
      <c r="CI180" s="182">
        <f t="shared" si="770"/>
        <v>0</v>
      </c>
      <c r="CJ180" s="209"/>
      <c r="CK180" s="182"/>
      <c r="CL180" s="209"/>
      <c r="CM180" s="183">
        <f t="shared" si="771"/>
        <v>0</v>
      </c>
      <c r="CN180" s="209"/>
      <c r="CO180" s="183">
        <f t="shared" si="772"/>
        <v>0</v>
      </c>
      <c r="CP180" s="209"/>
      <c r="CQ180" s="182">
        <f t="shared" si="773"/>
        <v>0</v>
      </c>
      <c r="CR180" s="209"/>
      <c r="CS180" s="182">
        <f t="shared" si="774"/>
        <v>0</v>
      </c>
      <c r="CT180" s="209"/>
      <c r="CU180" s="182">
        <f t="shared" si="775"/>
        <v>0</v>
      </c>
      <c r="CV180" s="209">
        <v>6</v>
      </c>
      <c r="CW180" s="182">
        <v>612623.26</v>
      </c>
      <c r="CX180" s="209"/>
      <c r="CY180" s="182">
        <f t="shared" si="776"/>
        <v>0</v>
      </c>
      <c r="CZ180" s="209"/>
      <c r="DA180" s="182">
        <v>0</v>
      </c>
      <c r="DB180" s="188"/>
      <c r="DC180" s="182">
        <f t="shared" si="777"/>
        <v>0</v>
      </c>
      <c r="DD180" s="209"/>
      <c r="DE180" s="187">
        <f t="shared" si="778"/>
        <v>0</v>
      </c>
      <c r="DF180" s="209"/>
      <c r="DG180" s="182">
        <f t="shared" si="779"/>
        <v>0</v>
      </c>
      <c r="DH180" s="253"/>
      <c r="DI180" s="182">
        <f t="shared" si="780"/>
        <v>0</v>
      </c>
      <c r="DJ180" s="209"/>
      <c r="DK180" s="182">
        <f t="shared" si="781"/>
        <v>0</v>
      </c>
      <c r="DL180" s="209"/>
      <c r="DM180" s="182">
        <f t="shared" si="782"/>
        <v>0</v>
      </c>
      <c r="DN180" s="209"/>
      <c r="DO180" s="190">
        <f t="shared" si="783"/>
        <v>0</v>
      </c>
      <c r="DP180" s="187"/>
      <c r="DQ180" s="187"/>
      <c r="DR180" s="183">
        <f t="shared" si="784"/>
        <v>23</v>
      </c>
      <c r="DS180" s="183">
        <f t="shared" si="784"/>
        <v>2230710.0995999998</v>
      </c>
      <c r="DT180" s="182">
        <v>23</v>
      </c>
      <c r="DU180" s="182">
        <v>2230710.0995999998</v>
      </c>
      <c r="DV180" s="167">
        <f t="shared" si="626"/>
        <v>0</v>
      </c>
      <c r="DW180" s="167">
        <f t="shared" si="626"/>
        <v>0</v>
      </c>
    </row>
    <row r="181" spans="1:127" ht="45" customHeight="1" x14ac:dyDescent="0.25">
      <c r="A181" s="154"/>
      <c r="B181" s="176">
        <v>147</v>
      </c>
      <c r="C181" s="177" t="s">
        <v>447</v>
      </c>
      <c r="D181" s="210" t="s">
        <v>448</v>
      </c>
      <c r="E181" s="158">
        <v>25969</v>
      </c>
      <c r="F181" s="179">
        <v>4.4400000000000004</v>
      </c>
      <c r="G181" s="168">
        <v>1</v>
      </c>
      <c r="H181" s="169"/>
      <c r="I181" s="169"/>
      <c r="J181" s="169"/>
      <c r="K181" s="106"/>
      <c r="L181" s="180">
        <v>1.4</v>
      </c>
      <c r="M181" s="180">
        <v>1.68</v>
      </c>
      <c r="N181" s="180">
        <v>2.23</v>
      </c>
      <c r="O181" s="181">
        <v>2.57</v>
      </c>
      <c r="P181" s="182">
        <v>25</v>
      </c>
      <c r="Q181" s="182">
        <f t="shared" si="741"/>
        <v>4439140.8600000013</v>
      </c>
      <c r="R181" s="182">
        <v>5</v>
      </c>
      <c r="S181" s="182">
        <f t="shared" si="742"/>
        <v>887828.17200000014</v>
      </c>
      <c r="T181" s="182"/>
      <c r="U181" s="182">
        <f t="shared" si="743"/>
        <v>0</v>
      </c>
      <c r="V181" s="182"/>
      <c r="W181" s="183">
        <f t="shared" si="744"/>
        <v>0</v>
      </c>
      <c r="X181" s="183">
        <v>7</v>
      </c>
      <c r="Y181" s="183">
        <v>1581948.3791999999</v>
      </c>
      <c r="Z181" s="183">
        <v>1</v>
      </c>
      <c r="AA181" s="183">
        <v>271191.15072000003</v>
      </c>
      <c r="AB181" s="182">
        <f t="shared" si="745"/>
        <v>8</v>
      </c>
      <c r="AC181" s="182">
        <f t="shared" si="745"/>
        <v>1853139.5299199999</v>
      </c>
      <c r="AD181" s="182"/>
      <c r="AE181" s="182">
        <f t="shared" si="746"/>
        <v>0</v>
      </c>
      <c r="AF181" s="209"/>
      <c r="AG181" s="182"/>
      <c r="AH181" s="182">
        <v>30</v>
      </c>
      <c r="AI181" s="182">
        <f t="shared" si="747"/>
        <v>5326969.0320000006</v>
      </c>
      <c r="AJ181" s="182"/>
      <c r="AK181" s="182"/>
      <c r="AL181" s="209"/>
      <c r="AM181" s="182"/>
      <c r="AN181" s="205"/>
      <c r="AO181" s="182">
        <f t="shared" si="748"/>
        <v>0</v>
      </c>
      <c r="AP181" s="182">
        <v>2</v>
      </c>
      <c r="AQ181" s="183">
        <f t="shared" si="749"/>
        <v>355131.26880000002</v>
      </c>
      <c r="AR181" s="182"/>
      <c r="AS181" s="182">
        <f t="shared" si="750"/>
        <v>0</v>
      </c>
      <c r="AT181" s="182"/>
      <c r="AU181" s="182">
        <f t="shared" si="751"/>
        <v>0</v>
      </c>
      <c r="AV181" s="188">
        <v>5</v>
      </c>
      <c r="AW181" s="182">
        <v>1301717.5300000003</v>
      </c>
      <c r="AX181" s="209"/>
      <c r="AY181" s="187">
        <f t="shared" si="752"/>
        <v>0</v>
      </c>
      <c r="AZ181" s="209"/>
      <c r="BA181" s="182">
        <f t="shared" si="753"/>
        <v>0</v>
      </c>
      <c r="BB181" s="209">
        <v>0</v>
      </c>
      <c r="BC181" s="182">
        <f t="shared" si="754"/>
        <v>0</v>
      </c>
      <c r="BD181" s="182"/>
      <c r="BE181" s="182">
        <f t="shared" si="755"/>
        <v>0</v>
      </c>
      <c r="BF181" s="209"/>
      <c r="BG181" s="182">
        <f t="shared" si="756"/>
        <v>0</v>
      </c>
      <c r="BH181" s="209"/>
      <c r="BI181" s="183">
        <f t="shared" si="757"/>
        <v>0</v>
      </c>
      <c r="BJ181" s="209"/>
      <c r="BK181" s="183">
        <f t="shared" si="758"/>
        <v>0</v>
      </c>
      <c r="BL181" s="209"/>
      <c r="BM181" s="182">
        <f t="shared" si="759"/>
        <v>0</v>
      </c>
      <c r="BN181" s="182"/>
      <c r="BO181" s="182">
        <f t="shared" si="760"/>
        <v>0</v>
      </c>
      <c r="BP181" s="209"/>
      <c r="BQ181" s="182">
        <f t="shared" si="761"/>
        <v>0</v>
      </c>
      <c r="BR181" s="209"/>
      <c r="BS181" s="183">
        <f t="shared" si="762"/>
        <v>0</v>
      </c>
      <c r="BT181" s="209"/>
      <c r="BU181" s="182">
        <f t="shared" si="763"/>
        <v>0</v>
      </c>
      <c r="BV181" s="209"/>
      <c r="BW181" s="182">
        <f t="shared" si="764"/>
        <v>0</v>
      </c>
      <c r="BX181" s="209"/>
      <c r="BY181" s="183">
        <f t="shared" si="765"/>
        <v>0</v>
      </c>
      <c r="BZ181" s="182"/>
      <c r="CA181" s="187">
        <f t="shared" si="766"/>
        <v>0</v>
      </c>
      <c r="CB181" s="209"/>
      <c r="CC181" s="182">
        <f t="shared" si="767"/>
        <v>0</v>
      </c>
      <c r="CD181" s="209"/>
      <c r="CE181" s="182">
        <f t="shared" si="768"/>
        <v>0</v>
      </c>
      <c r="CF181" s="209"/>
      <c r="CG181" s="182">
        <f t="shared" si="769"/>
        <v>0</v>
      </c>
      <c r="CH181" s="209"/>
      <c r="CI181" s="182">
        <f t="shared" si="770"/>
        <v>0</v>
      </c>
      <c r="CJ181" s="209"/>
      <c r="CK181" s="182"/>
      <c r="CL181" s="209"/>
      <c r="CM181" s="183">
        <f t="shared" si="771"/>
        <v>0</v>
      </c>
      <c r="CN181" s="209"/>
      <c r="CO181" s="183">
        <f t="shared" si="772"/>
        <v>0</v>
      </c>
      <c r="CP181" s="209"/>
      <c r="CQ181" s="182">
        <f t="shared" si="773"/>
        <v>0</v>
      </c>
      <c r="CR181" s="209"/>
      <c r="CS181" s="182">
        <f t="shared" si="774"/>
        <v>0</v>
      </c>
      <c r="CT181" s="209"/>
      <c r="CU181" s="182">
        <f t="shared" si="775"/>
        <v>0</v>
      </c>
      <c r="CV181" s="209"/>
      <c r="CW181" s="182">
        <v>0</v>
      </c>
      <c r="CX181" s="209"/>
      <c r="CY181" s="182">
        <f t="shared" si="776"/>
        <v>0</v>
      </c>
      <c r="CZ181" s="209"/>
      <c r="DA181" s="182">
        <v>0</v>
      </c>
      <c r="DB181" s="188"/>
      <c r="DC181" s="182">
        <f t="shared" si="777"/>
        <v>0</v>
      </c>
      <c r="DD181" s="209"/>
      <c r="DE181" s="187">
        <f t="shared" si="778"/>
        <v>0</v>
      </c>
      <c r="DF181" s="209"/>
      <c r="DG181" s="182">
        <f t="shared" si="779"/>
        <v>0</v>
      </c>
      <c r="DH181" s="253"/>
      <c r="DI181" s="182">
        <f t="shared" si="780"/>
        <v>0</v>
      </c>
      <c r="DJ181" s="209"/>
      <c r="DK181" s="182">
        <f t="shared" si="781"/>
        <v>0</v>
      </c>
      <c r="DL181" s="209"/>
      <c r="DM181" s="182">
        <f t="shared" si="782"/>
        <v>0</v>
      </c>
      <c r="DN181" s="209"/>
      <c r="DO181" s="190">
        <f t="shared" si="783"/>
        <v>0</v>
      </c>
      <c r="DP181" s="187"/>
      <c r="DQ181" s="187"/>
      <c r="DR181" s="183">
        <f t="shared" si="784"/>
        <v>75</v>
      </c>
      <c r="DS181" s="183">
        <f t="shared" si="784"/>
        <v>14163926.392720003</v>
      </c>
      <c r="DT181" s="182">
        <v>73</v>
      </c>
      <c r="DU181" s="182">
        <v>14050284.38016</v>
      </c>
      <c r="DV181" s="167">
        <f t="shared" si="626"/>
        <v>2</v>
      </c>
      <c r="DW181" s="167">
        <f t="shared" si="626"/>
        <v>113642.01256000251</v>
      </c>
    </row>
    <row r="182" spans="1:127" ht="45" customHeight="1" x14ac:dyDescent="0.25">
      <c r="A182" s="154"/>
      <c r="B182" s="176">
        <v>148</v>
      </c>
      <c r="C182" s="177" t="s">
        <v>449</v>
      </c>
      <c r="D182" s="210" t="s">
        <v>450</v>
      </c>
      <c r="E182" s="158">
        <v>25969</v>
      </c>
      <c r="F182" s="179">
        <v>2.17</v>
      </c>
      <c r="G182" s="168">
        <v>1</v>
      </c>
      <c r="H182" s="169"/>
      <c r="I182" s="169"/>
      <c r="J182" s="169"/>
      <c r="K182" s="106"/>
      <c r="L182" s="180">
        <v>1.4</v>
      </c>
      <c r="M182" s="180">
        <v>1.68</v>
      </c>
      <c r="N182" s="180">
        <v>2.23</v>
      </c>
      <c r="O182" s="181">
        <v>2.57</v>
      </c>
      <c r="P182" s="182"/>
      <c r="Q182" s="182">
        <f t="shared" si="741"/>
        <v>0</v>
      </c>
      <c r="R182" s="182"/>
      <c r="S182" s="182">
        <f t="shared" si="742"/>
        <v>0</v>
      </c>
      <c r="T182" s="182"/>
      <c r="U182" s="182">
        <f t="shared" si="743"/>
        <v>0</v>
      </c>
      <c r="V182" s="182"/>
      <c r="W182" s="183">
        <f t="shared" si="744"/>
        <v>0</v>
      </c>
      <c r="X182" s="183">
        <v>2</v>
      </c>
      <c r="Y182" s="183">
        <v>220902.70159999994</v>
      </c>
      <c r="Z182" s="183">
        <v>0</v>
      </c>
      <c r="AA182" s="183">
        <v>0</v>
      </c>
      <c r="AB182" s="182">
        <f t="shared" si="745"/>
        <v>2</v>
      </c>
      <c r="AC182" s="182">
        <f t="shared" si="745"/>
        <v>220902.70159999994</v>
      </c>
      <c r="AD182" s="182"/>
      <c r="AE182" s="182">
        <f t="shared" si="746"/>
        <v>0</v>
      </c>
      <c r="AF182" s="182"/>
      <c r="AG182" s="182"/>
      <c r="AH182" s="182">
        <v>10</v>
      </c>
      <c r="AI182" s="182">
        <f t="shared" si="747"/>
        <v>867832.0419999999</v>
      </c>
      <c r="AJ182" s="182"/>
      <c r="AK182" s="182"/>
      <c r="AL182" s="182"/>
      <c r="AM182" s="182"/>
      <c r="AN182" s="205"/>
      <c r="AO182" s="182">
        <f t="shared" si="748"/>
        <v>0</v>
      </c>
      <c r="AP182" s="182"/>
      <c r="AQ182" s="183">
        <f t="shared" si="749"/>
        <v>0</v>
      </c>
      <c r="AR182" s="182"/>
      <c r="AS182" s="182">
        <f t="shared" si="750"/>
        <v>0</v>
      </c>
      <c r="AT182" s="182"/>
      <c r="AU182" s="182">
        <f t="shared" si="751"/>
        <v>0</v>
      </c>
      <c r="AV182" s="186">
        <v>5</v>
      </c>
      <c r="AW182" s="182">
        <v>642826.86</v>
      </c>
      <c r="AX182" s="182"/>
      <c r="AY182" s="187">
        <f t="shared" si="752"/>
        <v>0</v>
      </c>
      <c r="AZ182" s="182"/>
      <c r="BA182" s="182">
        <f t="shared" si="753"/>
        <v>0</v>
      </c>
      <c r="BB182" s="182">
        <v>0</v>
      </c>
      <c r="BC182" s="182">
        <f t="shared" si="754"/>
        <v>0</v>
      </c>
      <c r="BD182" s="182"/>
      <c r="BE182" s="182">
        <f t="shared" si="755"/>
        <v>0</v>
      </c>
      <c r="BF182" s="182"/>
      <c r="BG182" s="182">
        <f t="shared" si="756"/>
        <v>0</v>
      </c>
      <c r="BH182" s="182"/>
      <c r="BI182" s="183">
        <f t="shared" si="757"/>
        <v>0</v>
      </c>
      <c r="BJ182" s="182"/>
      <c r="BK182" s="183">
        <f t="shared" si="758"/>
        <v>0</v>
      </c>
      <c r="BL182" s="182"/>
      <c r="BM182" s="182">
        <f t="shared" si="759"/>
        <v>0</v>
      </c>
      <c r="BN182" s="182"/>
      <c r="BO182" s="182">
        <f t="shared" si="760"/>
        <v>0</v>
      </c>
      <c r="BP182" s="182"/>
      <c r="BQ182" s="182">
        <f t="shared" si="761"/>
        <v>0</v>
      </c>
      <c r="BR182" s="182"/>
      <c r="BS182" s="183">
        <f t="shared" si="762"/>
        <v>0</v>
      </c>
      <c r="BT182" s="182"/>
      <c r="BU182" s="182">
        <f t="shared" si="763"/>
        <v>0</v>
      </c>
      <c r="BV182" s="182"/>
      <c r="BW182" s="182">
        <f t="shared" si="764"/>
        <v>0</v>
      </c>
      <c r="BX182" s="182"/>
      <c r="BY182" s="183">
        <f t="shared" si="765"/>
        <v>0</v>
      </c>
      <c r="BZ182" s="182"/>
      <c r="CA182" s="187">
        <f t="shared" si="766"/>
        <v>0</v>
      </c>
      <c r="CB182" s="182"/>
      <c r="CC182" s="182">
        <f t="shared" si="767"/>
        <v>0</v>
      </c>
      <c r="CD182" s="182"/>
      <c r="CE182" s="182">
        <f t="shared" si="768"/>
        <v>0</v>
      </c>
      <c r="CF182" s="182"/>
      <c r="CG182" s="182">
        <f t="shared" si="769"/>
        <v>0</v>
      </c>
      <c r="CH182" s="182"/>
      <c r="CI182" s="182">
        <f t="shared" si="770"/>
        <v>0</v>
      </c>
      <c r="CJ182" s="182"/>
      <c r="CK182" s="182"/>
      <c r="CL182" s="182"/>
      <c r="CM182" s="183">
        <f t="shared" si="771"/>
        <v>0</v>
      </c>
      <c r="CN182" s="182"/>
      <c r="CO182" s="183">
        <f t="shared" si="772"/>
        <v>0</v>
      </c>
      <c r="CP182" s="182"/>
      <c r="CQ182" s="182">
        <f t="shared" si="773"/>
        <v>0</v>
      </c>
      <c r="CR182" s="182"/>
      <c r="CS182" s="182">
        <f t="shared" si="774"/>
        <v>0</v>
      </c>
      <c r="CT182" s="182"/>
      <c r="CU182" s="182">
        <f t="shared" si="775"/>
        <v>0</v>
      </c>
      <c r="CV182" s="182"/>
      <c r="CW182" s="182">
        <v>0</v>
      </c>
      <c r="CX182" s="182"/>
      <c r="CY182" s="182">
        <f t="shared" si="776"/>
        <v>0</v>
      </c>
      <c r="CZ182" s="182"/>
      <c r="DA182" s="182">
        <v>0</v>
      </c>
      <c r="DB182" s="188"/>
      <c r="DC182" s="182">
        <f t="shared" si="777"/>
        <v>0</v>
      </c>
      <c r="DD182" s="182"/>
      <c r="DE182" s="187">
        <f t="shared" si="778"/>
        <v>0</v>
      </c>
      <c r="DF182" s="182"/>
      <c r="DG182" s="182">
        <f t="shared" si="779"/>
        <v>0</v>
      </c>
      <c r="DH182" s="189"/>
      <c r="DI182" s="182">
        <f t="shared" si="780"/>
        <v>0</v>
      </c>
      <c r="DJ182" s="182"/>
      <c r="DK182" s="182">
        <f t="shared" si="781"/>
        <v>0</v>
      </c>
      <c r="DL182" s="182"/>
      <c r="DM182" s="182">
        <f t="shared" si="782"/>
        <v>0</v>
      </c>
      <c r="DN182" s="182"/>
      <c r="DO182" s="190">
        <f t="shared" si="783"/>
        <v>0</v>
      </c>
      <c r="DP182" s="187"/>
      <c r="DQ182" s="187"/>
      <c r="DR182" s="183">
        <f t="shared" si="784"/>
        <v>17</v>
      </c>
      <c r="DS182" s="183">
        <f t="shared" si="784"/>
        <v>1731561.6036</v>
      </c>
      <c r="DT182" s="182">
        <v>12</v>
      </c>
      <c r="DU182" s="182">
        <v>1088734.7435999999</v>
      </c>
      <c r="DV182" s="167">
        <f t="shared" si="626"/>
        <v>5</v>
      </c>
      <c r="DW182" s="167">
        <f t="shared" si="626"/>
        <v>642826.8600000001</v>
      </c>
    </row>
    <row r="183" spans="1:127" ht="45" customHeight="1" x14ac:dyDescent="0.25">
      <c r="A183" s="154"/>
      <c r="B183" s="176">
        <v>149</v>
      </c>
      <c r="C183" s="177" t="s">
        <v>451</v>
      </c>
      <c r="D183" s="210" t="s">
        <v>452</v>
      </c>
      <c r="E183" s="158">
        <v>25969</v>
      </c>
      <c r="F183" s="179">
        <v>3.43</v>
      </c>
      <c r="G183" s="168">
        <v>1</v>
      </c>
      <c r="H183" s="169"/>
      <c r="I183" s="169"/>
      <c r="J183" s="169"/>
      <c r="K183" s="106"/>
      <c r="L183" s="180">
        <v>1.4</v>
      </c>
      <c r="M183" s="180">
        <v>1.68</v>
      </c>
      <c r="N183" s="180">
        <v>2.23</v>
      </c>
      <c r="O183" s="181">
        <v>2.57</v>
      </c>
      <c r="P183" s="182">
        <v>23</v>
      </c>
      <c r="Q183" s="182">
        <f t="shared" si="741"/>
        <v>3154989.3914000005</v>
      </c>
      <c r="R183" s="182">
        <v>5</v>
      </c>
      <c r="S183" s="182">
        <f t="shared" si="742"/>
        <v>685867.25900000008</v>
      </c>
      <c r="T183" s="182"/>
      <c r="U183" s="182">
        <f t="shared" si="743"/>
        <v>0</v>
      </c>
      <c r="V183" s="182"/>
      <c r="W183" s="183">
        <f t="shared" si="744"/>
        <v>0</v>
      </c>
      <c r="X183" s="183">
        <v>59</v>
      </c>
      <c r="Y183" s="183">
        <v>10300479.198799999</v>
      </c>
      <c r="Z183" s="183">
        <v>2</v>
      </c>
      <c r="AA183" s="183">
        <v>419002.54367999994</v>
      </c>
      <c r="AB183" s="182">
        <f t="shared" si="745"/>
        <v>61</v>
      </c>
      <c r="AC183" s="182">
        <f t="shared" si="745"/>
        <v>10719481.742479999</v>
      </c>
      <c r="AD183" s="182"/>
      <c r="AE183" s="182">
        <f t="shared" si="746"/>
        <v>0</v>
      </c>
      <c r="AF183" s="182"/>
      <c r="AG183" s="182"/>
      <c r="AH183" s="182">
        <v>15</v>
      </c>
      <c r="AI183" s="182">
        <f t="shared" si="747"/>
        <v>2057601.777</v>
      </c>
      <c r="AJ183" s="182"/>
      <c r="AK183" s="182"/>
      <c r="AL183" s="182"/>
      <c r="AM183" s="182"/>
      <c r="AN183" s="205"/>
      <c r="AO183" s="182">
        <f t="shared" si="748"/>
        <v>0</v>
      </c>
      <c r="AP183" s="182">
        <v>9</v>
      </c>
      <c r="AQ183" s="183">
        <f t="shared" si="749"/>
        <v>1234561.0662</v>
      </c>
      <c r="AR183" s="182"/>
      <c r="AS183" s="182">
        <f t="shared" si="750"/>
        <v>0</v>
      </c>
      <c r="AT183" s="182"/>
      <c r="AU183" s="182">
        <f t="shared" si="751"/>
        <v>0</v>
      </c>
      <c r="AV183" s="188">
        <v>31</v>
      </c>
      <c r="AW183" s="182">
        <v>6442164.0499999952</v>
      </c>
      <c r="AX183" s="182"/>
      <c r="AY183" s="187">
        <f t="shared" si="752"/>
        <v>0</v>
      </c>
      <c r="AZ183" s="182"/>
      <c r="BA183" s="182">
        <f t="shared" si="753"/>
        <v>0</v>
      </c>
      <c r="BB183" s="182">
        <v>0</v>
      </c>
      <c r="BC183" s="182">
        <f t="shared" si="754"/>
        <v>0</v>
      </c>
      <c r="BD183" s="182"/>
      <c r="BE183" s="182">
        <f t="shared" si="755"/>
        <v>0</v>
      </c>
      <c r="BF183" s="182"/>
      <c r="BG183" s="182">
        <f t="shared" si="756"/>
        <v>0</v>
      </c>
      <c r="BH183" s="182"/>
      <c r="BI183" s="183">
        <f t="shared" si="757"/>
        <v>0</v>
      </c>
      <c r="BJ183" s="182"/>
      <c r="BK183" s="183">
        <f t="shared" si="758"/>
        <v>0</v>
      </c>
      <c r="BL183" s="182"/>
      <c r="BM183" s="182">
        <f t="shared" si="759"/>
        <v>0</v>
      </c>
      <c r="BN183" s="182"/>
      <c r="BO183" s="182">
        <f t="shared" si="760"/>
        <v>0</v>
      </c>
      <c r="BP183" s="182"/>
      <c r="BQ183" s="182">
        <f t="shared" si="761"/>
        <v>0</v>
      </c>
      <c r="BR183" s="182"/>
      <c r="BS183" s="183">
        <f t="shared" si="762"/>
        <v>0</v>
      </c>
      <c r="BT183" s="182"/>
      <c r="BU183" s="182">
        <f t="shared" si="763"/>
        <v>0</v>
      </c>
      <c r="BV183" s="182"/>
      <c r="BW183" s="182">
        <f t="shared" si="764"/>
        <v>0</v>
      </c>
      <c r="BX183" s="182"/>
      <c r="BY183" s="183">
        <f t="shared" si="765"/>
        <v>0</v>
      </c>
      <c r="BZ183" s="182"/>
      <c r="CA183" s="187">
        <f t="shared" si="766"/>
        <v>0</v>
      </c>
      <c r="CB183" s="182"/>
      <c r="CC183" s="182">
        <f t="shared" si="767"/>
        <v>0</v>
      </c>
      <c r="CD183" s="182"/>
      <c r="CE183" s="182">
        <f t="shared" si="768"/>
        <v>0</v>
      </c>
      <c r="CF183" s="182"/>
      <c r="CG183" s="182">
        <f t="shared" si="769"/>
        <v>0</v>
      </c>
      <c r="CH183" s="182"/>
      <c r="CI183" s="182">
        <f t="shared" si="770"/>
        <v>0</v>
      </c>
      <c r="CJ183" s="182"/>
      <c r="CK183" s="182"/>
      <c r="CL183" s="182"/>
      <c r="CM183" s="183">
        <f t="shared" si="771"/>
        <v>0</v>
      </c>
      <c r="CN183" s="182"/>
      <c r="CO183" s="183">
        <f t="shared" si="772"/>
        <v>0</v>
      </c>
      <c r="CP183" s="182"/>
      <c r="CQ183" s="182">
        <f t="shared" si="773"/>
        <v>0</v>
      </c>
      <c r="CR183" s="182"/>
      <c r="CS183" s="182">
        <f t="shared" si="774"/>
        <v>0</v>
      </c>
      <c r="CT183" s="182"/>
      <c r="CU183" s="182">
        <f t="shared" si="775"/>
        <v>0</v>
      </c>
      <c r="CV183" s="182">
        <v>3</v>
      </c>
      <c r="CW183" s="182">
        <v>426484.74</v>
      </c>
      <c r="CX183" s="182"/>
      <c r="CY183" s="182">
        <f t="shared" si="776"/>
        <v>0</v>
      </c>
      <c r="CZ183" s="182"/>
      <c r="DA183" s="182">
        <v>0</v>
      </c>
      <c r="DB183" s="188"/>
      <c r="DC183" s="182">
        <f t="shared" si="777"/>
        <v>0</v>
      </c>
      <c r="DD183" s="182"/>
      <c r="DE183" s="187">
        <f t="shared" si="778"/>
        <v>0</v>
      </c>
      <c r="DF183" s="182"/>
      <c r="DG183" s="182">
        <f t="shared" si="779"/>
        <v>0</v>
      </c>
      <c r="DH183" s="189"/>
      <c r="DI183" s="182">
        <f t="shared" si="780"/>
        <v>0</v>
      </c>
      <c r="DJ183" s="182"/>
      <c r="DK183" s="182">
        <f t="shared" si="781"/>
        <v>0</v>
      </c>
      <c r="DL183" s="182"/>
      <c r="DM183" s="182">
        <f t="shared" si="782"/>
        <v>0</v>
      </c>
      <c r="DN183" s="182"/>
      <c r="DO183" s="190">
        <f t="shared" si="783"/>
        <v>0</v>
      </c>
      <c r="DP183" s="187"/>
      <c r="DQ183" s="187"/>
      <c r="DR183" s="183">
        <f t="shared" si="784"/>
        <v>147</v>
      </c>
      <c r="DS183" s="183">
        <f t="shared" si="784"/>
        <v>24721150.026079994</v>
      </c>
      <c r="DT183" s="182">
        <v>139</v>
      </c>
      <c r="DU183" s="182">
        <v>23314498.688519999</v>
      </c>
      <c r="DV183" s="167">
        <f t="shared" si="626"/>
        <v>8</v>
      </c>
      <c r="DW183" s="167">
        <f t="shared" si="626"/>
        <v>1406651.3375599943</v>
      </c>
    </row>
    <row r="184" spans="1:127" ht="45" customHeight="1" x14ac:dyDescent="0.25">
      <c r="A184" s="154"/>
      <c r="B184" s="176">
        <v>150</v>
      </c>
      <c r="C184" s="177" t="s">
        <v>453</v>
      </c>
      <c r="D184" s="210" t="s">
        <v>454</v>
      </c>
      <c r="E184" s="158">
        <v>25969</v>
      </c>
      <c r="F184" s="179">
        <v>4.2699999999999996</v>
      </c>
      <c r="G184" s="168">
        <v>1</v>
      </c>
      <c r="H184" s="169"/>
      <c r="I184" s="169"/>
      <c r="J184" s="169"/>
      <c r="K184" s="106"/>
      <c r="L184" s="180">
        <v>1.4</v>
      </c>
      <c r="M184" s="180">
        <v>1.68</v>
      </c>
      <c r="N184" s="180">
        <v>2.23</v>
      </c>
      <c r="O184" s="181">
        <v>2.57</v>
      </c>
      <c r="P184" s="182">
        <v>0</v>
      </c>
      <c r="Q184" s="182">
        <f t="shared" si="741"/>
        <v>0</v>
      </c>
      <c r="R184" s="182">
        <v>1</v>
      </c>
      <c r="S184" s="182">
        <f t="shared" si="742"/>
        <v>170766.95019999999</v>
      </c>
      <c r="T184" s="182"/>
      <c r="U184" s="182">
        <f t="shared" si="743"/>
        <v>0</v>
      </c>
      <c r="V184" s="182"/>
      <c r="W184" s="183">
        <f t="shared" si="744"/>
        <v>0</v>
      </c>
      <c r="X184" s="183">
        <v>8</v>
      </c>
      <c r="Y184" s="183">
        <v>1738718.0383999995</v>
      </c>
      <c r="Z184" s="183">
        <v>1</v>
      </c>
      <c r="AA184" s="183">
        <v>260807.70575999995</v>
      </c>
      <c r="AB184" s="182">
        <f t="shared" si="745"/>
        <v>9</v>
      </c>
      <c r="AC184" s="182">
        <f t="shared" si="745"/>
        <v>1999525.7441599995</v>
      </c>
      <c r="AD184" s="182"/>
      <c r="AE184" s="182">
        <f t="shared" si="746"/>
        <v>0</v>
      </c>
      <c r="AF184" s="182"/>
      <c r="AG184" s="182"/>
      <c r="AH184" s="182"/>
      <c r="AI184" s="182">
        <f t="shared" si="747"/>
        <v>0</v>
      </c>
      <c r="AJ184" s="182"/>
      <c r="AK184" s="182"/>
      <c r="AL184" s="182"/>
      <c r="AM184" s="182"/>
      <c r="AN184" s="205"/>
      <c r="AO184" s="182">
        <f t="shared" si="748"/>
        <v>0</v>
      </c>
      <c r="AP184" s="182"/>
      <c r="AQ184" s="183">
        <f t="shared" si="749"/>
        <v>0</v>
      </c>
      <c r="AR184" s="182"/>
      <c r="AS184" s="182">
        <f t="shared" si="750"/>
        <v>0</v>
      </c>
      <c r="AT184" s="182"/>
      <c r="AU184" s="182">
        <f t="shared" si="751"/>
        <v>0</v>
      </c>
      <c r="AV184" s="188">
        <v>5</v>
      </c>
      <c r="AW184" s="182">
        <v>1304038.55</v>
      </c>
      <c r="AX184" s="182"/>
      <c r="AY184" s="187">
        <f t="shared" si="752"/>
        <v>0</v>
      </c>
      <c r="AZ184" s="182"/>
      <c r="BA184" s="182">
        <f t="shared" si="753"/>
        <v>0</v>
      </c>
      <c r="BB184" s="182">
        <v>0</v>
      </c>
      <c r="BC184" s="182">
        <f t="shared" si="754"/>
        <v>0</v>
      </c>
      <c r="BD184" s="182"/>
      <c r="BE184" s="182">
        <f t="shared" si="755"/>
        <v>0</v>
      </c>
      <c r="BF184" s="182"/>
      <c r="BG184" s="182">
        <f t="shared" si="756"/>
        <v>0</v>
      </c>
      <c r="BH184" s="182"/>
      <c r="BI184" s="183">
        <f t="shared" si="757"/>
        <v>0</v>
      </c>
      <c r="BJ184" s="182"/>
      <c r="BK184" s="183">
        <f t="shared" si="758"/>
        <v>0</v>
      </c>
      <c r="BL184" s="182"/>
      <c r="BM184" s="182">
        <f t="shared" si="759"/>
        <v>0</v>
      </c>
      <c r="BN184" s="182"/>
      <c r="BO184" s="182">
        <f t="shared" si="760"/>
        <v>0</v>
      </c>
      <c r="BP184" s="182"/>
      <c r="BQ184" s="182">
        <f t="shared" si="761"/>
        <v>0</v>
      </c>
      <c r="BR184" s="182"/>
      <c r="BS184" s="183">
        <f t="shared" si="762"/>
        <v>0</v>
      </c>
      <c r="BT184" s="182"/>
      <c r="BU184" s="182">
        <f t="shared" si="763"/>
        <v>0</v>
      </c>
      <c r="BV184" s="182"/>
      <c r="BW184" s="182">
        <f t="shared" si="764"/>
        <v>0</v>
      </c>
      <c r="BX184" s="182"/>
      <c r="BY184" s="183">
        <f t="shared" si="765"/>
        <v>0</v>
      </c>
      <c r="BZ184" s="182"/>
      <c r="CA184" s="187">
        <f t="shared" si="766"/>
        <v>0</v>
      </c>
      <c r="CB184" s="182"/>
      <c r="CC184" s="182">
        <f t="shared" si="767"/>
        <v>0</v>
      </c>
      <c r="CD184" s="182"/>
      <c r="CE184" s="182">
        <f t="shared" si="768"/>
        <v>0</v>
      </c>
      <c r="CF184" s="182"/>
      <c r="CG184" s="182">
        <f t="shared" si="769"/>
        <v>0</v>
      </c>
      <c r="CH184" s="182"/>
      <c r="CI184" s="182">
        <f t="shared" si="770"/>
        <v>0</v>
      </c>
      <c r="CJ184" s="182"/>
      <c r="CK184" s="182"/>
      <c r="CL184" s="182"/>
      <c r="CM184" s="183">
        <f t="shared" si="771"/>
        <v>0</v>
      </c>
      <c r="CN184" s="182"/>
      <c r="CO184" s="183">
        <f t="shared" si="772"/>
        <v>0</v>
      </c>
      <c r="CP184" s="182"/>
      <c r="CQ184" s="182">
        <f t="shared" si="773"/>
        <v>0</v>
      </c>
      <c r="CR184" s="182"/>
      <c r="CS184" s="182">
        <f t="shared" si="774"/>
        <v>0</v>
      </c>
      <c r="CT184" s="182"/>
      <c r="CU184" s="182">
        <f t="shared" si="775"/>
        <v>0</v>
      </c>
      <c r="CV184" s="182"/>
      <c r="CW184" s="182">
        <v>0</v>
      </c>
      <c r="CX184" s="182"/>
      <c r="CY184" s="182">
        <f t="shared" si="776"/>
        <v>0</v>
      </c>
      <c r="CZ184" s="182"/>
      <c r="DA184" s="182">
        <v>0</v>
      </c>
      <c r="DB184" s="188"/>
      <c r="DC184" s="182">
        <f t="shared" si="777"/>
        <v>0</v>
      </c>
      <c r="DD184" s="182"/>
      <c r="DE184" s="187">
        <f t="shared" si="778"/>
        <v>0</v>
      </c>
      <c r="DF184" s="182"/>
      <c r="DG184" s="182">
        <f t="shared" si="779"/>
        <v>0</v>
      </c>
      <c r="DH184" s="189"/>
      <c r="DI184" s="182">
        <f t="shared" si="780"/>
        <v>0</v>
      </c>
      <c r="DJ184" s="182"/>
      <c r="DK184" s="182">
        <f t="shared" si="781"/>
        <v>0</v>
      </c>
      <c r="DL184" s="182"/>
      <c r="DM184" s="182">
        <f t="shared" si="782"/>
        <v>0</v>
      </c>
      <c r="DN184" s="182"/>
      <c r="DO184" s="190">
        <f t="shared" si="783"/>
        <v>0</v>
      </c>
      <c r="DP184" s="187"/>
      <c r="DQ184" s="187"/>
      <c r="DR184" s="183">
        <f t="shared" si="784"/>
        <v>15</v>
      </c>
      <c r="DS184" s="183">
        <f t="shared" si="784"/>
        <v>3474331.2443599999</v>
      </c>
      <c r="DT184" s="182">
        <v>15</v>
      </c>
      <c r="DU184" s="182">
        <v>3474331.2231599996</v>
      </c>
      <c r="DV184" s="167">
        <f t="shared" si="626"/>
        <v>0</v>
      </c>
      <c r="DW184" s="167">
        <f t="shared" si="626"/>
        <v>2.1200000308454037E-2</v>
      </c>
    </row>
    <row r="185" spans="1:127" ht="30" customHeight="1" x14ac:dyDescent="0.25">
      <c r="A185" s="154"/>
      <c r="B185" s="176">
        <v>151</v>
      </c>
      <c r="C185" s="177" t="s">
        <v>455</v>
      </c>
      <c r="D185" s="210" t="s">
        <v>456</v>
      </c>
      <c r="E185" s="158">
        <v>25969</v>
      </c>
      <c r="F185" s="201">
        <v>3.66</v>
      </c>
      <c r="G185" s="168">
        <v>1</v>
      </c>
      <c r="H185" s="169"/>
      <c r="I185" s="169"/>
      <c r="J185" s="169"/>
      <c r="K185" s="106"/>
      <c r="L185" s="180">
        <v>1.4</v>
      </c>
      <c r="M185" s="180">
        <v>1.68</v>
      </c>
      <c r="N185" s="180">
        <v>2.23</v>
      </c>
      <c r="O185" s="181">
        <v>2.57</v>
      </c>
      <c r="P185" s="182">
        <v>0</v>
      </c>
      <c r="Q185" s="182">
        <f t="shared" si="741"/>
        <v>0</v>
      </c>
      <c r="R185" s="182"/>
      <c r="S185" s="182">
        <f t="shared" si="742"/>
        <v>0</v>
      </c>
      <c r="T185" s="182"/>
      <c r="U185" s="182">
        <f t="shared" si="743"/>
        <v>0</v>
      </c>
      <c r="V185" s="182"/>
      <c r="W185" s="183">
        <f t="shared" si="744"/>
        <v>0</v>
      </c>
      <c r="X185" s="183">
        <v>2</v>
      </c>
      <c r="Y185" s="183">
        <v>372582.43680000002</v>
      </c>
      <c r="Z185" s="183">
        <v>0</v>
      </c>
      <c r="AA185" s="183">
        <v>0</v>
      </c>
      <c r="AB185" s="182">
        <f t="shared" si="745"/>
        <v>2</v>
      </c>
      <c r="AC185" s="182">
        <f t="shared" si="745"/>
        <v>372582.43680000002</v>
      </c>
      <c r="AD185" s="182"/>
      <c r="AE185" s="182">
        <f t="shared" si="746"/>
        <v>0</v>
      </c>
      <c r="AF185" s="182"/>
      <c r="AG185" s="182"/>
      <c r="AH185" s="182"/>
      <c r="AI185" s="182">
        <f t="shared" si="747"/>
        <v>0</v>
      </c>
      <c r="AJ185" s="182"/>
      <c r="AK185" s="182"/>
      <c r="AL185" s="182"/>
      <c r="AM185" s="182"/>
      <c r="AN185" s="205"/>
      <c r="AO185" s="182">
        <f t="shared" si="748"/>
        <v>0</v>
      </c>
      <c r="AP185" s="182"/>
      <c r="AQ185" s="183">
        <f t="shared" si="749"/>
        <v>0</v>
      </c>
      <c r="AR185" s="182"/>
      <c r="AS185" s="182">
        <f t="shared" si="750"/>
        <v>0</v>
      </c>
      <c r="AT185" s="182"/>
      <c r="AU185" s="182">
        <f t="shared" si="751"/>
        <v>0</v>
      </c>
      <c r="AV185" s="188">
        <v>3</v>
      </c>
      <c r="AW185" s="182">
        <v>670648.38</v>
      </c>
      <c r="AX185" s="182"/>
      <c r="AY185" s="187">
        <f t="shared" si="752"/>
        <v>0</v>
      </c>
      <c r="AZ185" s="209"/>
      <c r="BA185" s="182">
        <f t="shared" si="753"/>
        <v>0</v>
      </c>
      <c r="BB185" s="182">
        <v>0</v>
      </c>
      <c r="BC185" s="182">
        <f t="shared" si="754"/>
        <v>0</v>
      </c>
      <c r="BD185" s="182"/>
      <c r="BE185" s="182">
        <f t="shared" si="755"/>
        <v>0</v>
      </c>
      <c r="BF185" s="182"/>
      <c r="BG185" s="182">
        <f t="shared" si="756"/>
        <v>0</v>
      </c>
      <c r="BH185" s="182"/>
      <c r="BI185" s="183">
        <f t="shared" si="757"/>
        <v>0</v>
      </c>
      <c r="BJ185" s="182"/>
      <c r="BK185" s="183">
        <f t="shared" si="758"/>
        <v>0</v>
      </c>
      <c r="BL185" s="182"/>
      <c r="BM185" s="182">
        <f t="shared" si="759"/>
        <v>0</v>
      </c>
      <c r="BN185" s="182"/>
      <c r="BO185" s="182">
        <f t="shared" si="760"/>
        <v>0</v>
      </c>
      <c r="BP185" s="182"/>
      <c r="BQ185" s="182">
        <f t="shared" si="761"/>
        <v>0</v>
      </c>
      <c r="BR185" s="182"/>
      <c r="BS185" s="183">
        <f t="shared" si="762"/>
        <v>0</v>
      </c>
      <c r="BT185" s="182"/>
      <c r="BU185" s="182">
        <f t="shared" si="763"/>
        <v>0</v>
      </c>
      <c r="BV185" s="182"/>
      <c r="BW185" s="182">
        <f t="shared" si="764"/>
        <v>0</v>
      </c>
      <c r="BX185" s="182"/>
      <c r="BY185" s="183">
        <f t="shared" si="765"/>
        <v>0</v>
      </c>
      <c r="BZ185" s="182"/>
      <c r="CA185" s="187">
        <f t="shared" si="766"/>
        <v>0</v>
      </c>
      <c r="CB185" s="182"/>
      <c r="CC185" s="182">
        <f t="shared" si="767"/>
        <v>0</v>
      </c>
      <c r="CD185" s="182"/>
      <c r="CE185" s="182">
        <f t="shared" si="768"/>
        <v>0</v>
      </c>
      <c r="CF185" s="182"/>
      <c r="CG185" s="182">
        <f t="shared" si="769"/>
        <v>0</v>
      </c>
      <c r="CH185" s="182"/>
      <c r="CI185" s="182">
        <f t="shared" si="770"/>
        <v>0</v>
      </c>
      <c r="CJ185" s="182"/>
      <c r="CK185" s="182"/>
      <c r="CL185" s="182"/>
      <c r="CM185" s="183">
        <f t="shared" si="771"/>
        <v>0</v>
      </c>
      <c r="CN185" s="182"/>
      <c r="CO185" s="183">
        <f t="shared" si="772"/>
        <v>0</v>
      </c>
      <c r="CP185" s="182"/>
      <c r="CQ185" s="182">
        <f t="shared" si="773"/>
        <v>0</v>
      </c>
      <c r="CR185" s="182"/>
      <c r="CS185" s="182">
        <f t="shared" si="774"/>
        <v>0</v>
      </c>
      <c r="CT185" s="182"/>
      <c r="CU185" s="182">
        <f t="shared" si="775"/>
        <v>0</v>
      </c>
      <c r="CV185" s="182"/>
      <c r="CW185" s="182">
        <v>0</v>
      </c>
      <c r="CX185" s="182"/>
      <c r="CY185" s="182">
        <f t="shared" si="776"/>
        <v>0</v>
      </c>
      <c r="CZ185" s="182"/>
      <c r="DA185" s="182">
        <v>0</v>
      </c>
      <c r="DB185" s="188"/>
      <c r="DC185" s="182">
        <f t="shared" si="777"/>
        <v>0</v>
      </c>
      <c r="DD185" s="182"/>
      <c r="DE185" s="187">
        <f t="shared" si="778"/>
        <v>0</v>
      </c>
      <c r="DF185" s="182"/>
      <c r="DG185" s="182">
        <f t="shared" si="779"/>
        <v>0</v>
      </c>
      <c r="DH185" s="189"/>
      <c r="DI185" s="182">
        <f t="shared" si="780"/>
        <v>0</v>
      </c>
      <c r="DJ185" s="182"/>
      <c r="DK185" s="182">
        <f t="shared" si="781"/>
        <v>0</v>
      </c>
      <c r="DL185" s="182"/>
      <c r="DM185" s="182">
        <f t="shared" si="782"/>
        <v>0</v>
      </c>
      <c r="DN185" s="182"/>
      <c r="DO185" s="190">
        <f t="shared" si="783"/>
        <v>0</v>
      </c>
      <c r="DP185" s="187"/>
      <c r="DQ185" s="187"/>
      <c r="DR185" s="183">
        <f t="shared" si="784"/>
        <v>5</v>
      </c>
      <c r="DS185" s="183">
        <f t="shared" si="784"/>
        <v>1043230.8168</v>
      </c>
      <c r="DT185" s="182">
        <v>4</v>
      </c>
      <c r="DU185" s="182">
        <v>819681.36095999996</v>
      </c>
      <c r="DV185" s="167">
        <f t="shared" si="626"/>
        <v>1</v>
      </c>
      <c r="DW185" s="167">
        <f t="shared" si="626"/>
        <v>223549.45584000007</v>
      </c>
    </row>
    <row r="186" spans="1:127" ht="45" customHeight="1" x14ac:dyDescent="0.25">
      <c r="A186" s="154"/>
      <c r="B186" s="176">
        <v>152</v>
      </c>
      <c r="C186" s="177" t="s">
        <v>457</v>
      </c>
      <c r="D186" s="210" t="s">
        <v>458</v>
      </c>
      <c r="E186" s="158">
        <v>25969</v>
      </c>
      <c r="F186" s="179">
        <v>2.81</v>
      </c>
      <c r="G186" s="168">
        <v>1</v>
      </c>
      <c r="H186" s="169"/>
      <c r="I186" s="169"/>
      <c r="J186" s="169"/>
      <c r="K186" s="106"/>
      <c r="L186" s="180">
        <v>1.4</v>
      </c>
      <c r="M186" s="180">
        <v>1.68</v>
      </c>
      <c r="N186" s="180">
        <v>2.23</v>
      </c>
      <c r="O186" s="181">
        <v>2.57</v>
      </c>
      <c r="P186" s="182">
        <v>21</v>
      </c>
      <c r="Q186" s="182">
        <f t="shared" si="741"/>
        <v>2359943.2626</v>
      </c>
      <c r="R186" s="182"/>
      <c r="S186" s="182">
        <f t="shared" si="742"/>
        <v>0</v>
      </c>
      <c r="T186" s="182"/>
      <c r="U186" s="182">
        <f t="shared" si="743"/>
        <v>0</v>
      </c>
      <c r="V186" s="182"/>
      <c r="W186" s="183">
        <f t="shared" si="744"/>
        <v>0</v>
      </c>
      <c r="X186" s="183"/>
      <c r="Y186" s="183">
        <v>0</v>
      </c>
      <c r="Z186" s="183">
        <v>0</v>
      </c>
      <c r="AA186" s="183">
        <v>0</v>
      </c>
      <c r="AB186" s="182">
        <f t="shared" si="745"/>
        <v>0</v>
      </c>
      <c r="AC186" s="182">
        <f t="shared" si="745"/>
        <v>0</v>
      </c>
      <c r="AD186" s="182"/>
      <c r="AE186" s="182">
        <f t="shared" si="746"/>
        <v>0</v>
      </c>
      <c r="AF186" s="182"/>
      <c r="AG186" s="182"/>
      <c r="AH186" s="182"/>
      <c r="AI186" s="182">
        <f t="shared" si="747"/>
        <v>0</v>
      </c>
      <c r="AJ186" s="182"/>
      <c r="AK186" s="182"/>
      <c r="AL186" s="182"/>
      <c r="AM186" s="182"/>
      <c r="AN186" s="205">
        <v>2</v>
      </c>
      <c r="AO186" s="182">
        <f t="shared" si="748"/>
        <v>224756.5012</v>
      </c>
      <c r="AP186" s="182"/>
      <c r="AQ186" s="183">
        <f t="shared" si="749"/>
        <v>0</v>
      </c>
      <c r="AR186" s="182"/>
      <c r="AS186" s="182">
        <f t="shared" si="750"/>
        <v>0</v>
      </c>
      <c r="AT186" s="182"/>
      <c r="AU186" s="182">
        <f t="shared" si="751"/>
        <v>0</v>
      </c>
      <c r="AV186" s="186">
        <v>0</v>
      </c>
      <c r="AW186" s="182">
        <v>0</v>
      </c>
      <c r="AX186" s="182"/>
      <c r="AY186" s="187">
        <f t="shared" si="752"/>
        <v>0</v>
      </c>
      <c r="AZ186" s="182"/>
      <c r="BA186" s="182">
        <f t="shared" si="753"/>
        <v>0</v>
      </c>
      <c r="BB186" s="182">
        <v>0</v>
      </c>
      <c r="BC186" s="182">
        <f t="shared" si="754"/>
        <v>0</v>
      </c>
      <c r="BD186" s="182"/>
      <c r="BE186" s="182">
        <f t="shared" si="755"/>
        <v>0</v>
      </c>
      <c r="BF186" s="182"/>
      <c r="BG186" s="182">
        <f t="shared" si="756"/>
        <v>0</v>
      </c>
      <c r="BH186" s="182"/>
      <c r="BI186" s="183">
        <f t="shared" si="757"/>
        <v>0</v>
      </c>
      <c r="BJ186" s="182"/>
      <c r="BK186" s="183">
        <f t="shared" si="758"/>
        <v>0</v>
      </c>
      <c r="BL186" s="182"/>
      <c r="BM186" s="182">
        <f t="shared" si="759"/>
        <v>0</v>
      </c>
      <c r="BN186" s="182"/>
      <c r="BO186" s="182">
        <f t="shared" si="760"/>
        <v>0</v>
      </c>
      <c r="BP186" s="182"/>
      <c r="BQ186" s="182">
        <f t="shared" si="761"/>
        <v>0</v>
      </c>
      <c r="BR186" s="182"/>
      <c r="BS186" s="183">
        <f t="shared" si="762"/>
        <v>0</v>
      </c>
      <c r="BT186" s="182"/>
      <c r="BU186" s="182">
        <f t="shared" si="763"/>
        <v>0</v>
      </c>
      <c r="BV186" s="182"/>
      <c r="BW186" s="182">
        <f t="shared" si="764"/>
        <v>0</v>
      </c>
      <c r="BX186" s="182"/>
      <c r="BY186" s="183">
        <f t="shared" si="765"/>
        <v>0</v>
      </c>
      <c r="BZ186" s="182"/>
      <c r="CA186" s="187">
        <f t="shared" si="766"/>
        <v>0</v>
      </c>
      <c r="CB186" s="182"/>
      <c r="CC186" s="182">
        <f t="shared" si="767"/>
        <v>0</v>
      </c>
      <c r="CD186" s="182"/>
      <c r="CE186" s="182">
        <f t="shared" si="768"/>
        <v>0</v>
      </c>
      <c r="CF186" s="182"/>
      <c r="CG186" s="182">
        <f t="shared" si="769"/>
        <v>0</v>
      </c>
      <c r="CH186" s="182"/>
      <c r="CI186" s="182">
        <f t="shared" si="770"/>
        <v>0</v>
      </c>
      <c r="CJ186" s="182"/>
      <c r="CK186" s="182"/>
      <c r="CL186" s="182"/>
      <c r="CM186" s="183">
        <f t="shared" si="771"/>
        <v>0</v>
      </c>
      <c r="CN186" s="182"/>
      <c r="CO186" s="183">
        <f t="shared" si="772"/>
        <v>0</v>
      </c>
      <c r="CP186" s="182"/>
      <c r="CQ186" s="182">
        <f t="shared" si="773"/>
        <v>0</v>
      </c>
      <c r="CR186" s="182"/>
      <c r="CS186" s="182">
        <f t="shared" si="774"/>
        <v>0</v>
      </c>
      <c r="CT186" s="182"/>
      <c r="CU186" s="182">
        <f t="shared" si="775"/>
        <v>0</v>
      </c>
      <c r="CV186" s="182"/>
      <c r="CW186" s="182">
        <v>0</v>
      </c>
      <c r="CX186" s="182"/>
      <c r="CY186" s="182">
        <f t="shared" si="776"/>
        <v>0</v>
      </c>
      <c r="CZ186" s="182"/>
      <c r="DA186" s="182">
        <v>0</v>
      </c>
      <c r="DB186" s="188"/>
      <c r="DC186" s="182">
        <f t="shared" si="777"/>
        <v>0</v>
      </c>
      <c r="DD186" s="182"/>
      <c r="DE186" s="187">
        <f t="shared" si="778"/>
        <v>0</v>
      </c>
      <c r="DF186" s="182"/>
      <c r="DG186" s="182">
        <f t="shared" si="779"/>
        <v>0</v>
      </c>
      <c r="DH186" s="189"/>
      <c r="DI186" s="182">
        <f t="shared" si="780"/>
        <v>0</v>
      </c>
      <c r="DJ186" s="182"/>
      <c r="DK186" s="182">
        <f t="shared" si="781"/>
        <v>0</v>
      </c>
      <c r="DL186" s="182"/>
      <c r="DM186" s="182">
        <f t="shared" si="782"/>
        <v>0</v>
      </c>
      <c r="DN186" s="182"/>
      <c r="DO186" s="190">
        <f t="shared" si="783"/>
        <v>0</v>
      </c>
      <c r="DP186" s="187"/>
      <c r="DQ186" s="187"/>
      <c r="DR186" s="183">
        <f t="shared" si="784"/>
        <v>23</v>
      </c>
      <c r="DS186" s="183">
        <f t="shared" si="784"/>
        <v>2584699.7637999998</v>
      </c>
      <c r="DT186" s="182">
        <v>23</v>
      </c>
      <c r="DU186" s="182">
        <v>2584699.7637999998</v>
      </c>
      <c r="DV186" s="167">
        <f t="shared" si="626"/>
        <v>0</v>
      </c>
      <c r="DW186" s="167">
        <f t="shared" si="626"/>
        <v>0</v>
      </c>
    </row>
    <row r="187" spans="1:127" ht="45" customHeight="1" x14ac:dyDescent="0.25">
      <c r="A187" s="154"/>
      <c r="B187" s="176">
        <v>153</v>
      </c>
      <c r="C187" s="177" t="s">
        <v>459</v>
      </c>
      <c r="D187" s="210" t="s">
        <v>460</v>
      </c>
      <c r="E187" s="158">
        <v>25969</v>
      </c>
      <c r="F187" s="179">
        <v>3.42</v>
      </c>
      <c r="G187" s="168">
        <v>1</v>
      </c>
      <c r="H187" s="169"/>
      <c r="I187" s="169"/>
      <c r="J187" s="169"/>
      <c r="K187" s="106"/>
      <c r="L187" s="180">
        <v>1.4</v>
      </c>
      <c r="M187" s="180">
        <v>1.68</v>
      </c>
      <c r="N187" s="180">
        <v>2.23</v>
      </c>
      <c r="O187" s="181">
        <v>2.57</v>
      </c>
      <c r="P187" s="182">
        <v>10</v>
      </c>
      <c r="Q187" s="182">
        <f t="shared" si="741"/>
        <v>1367735.2919999999</v>
      </c>
      <c r="R187" s="182"/>
      <c r="S187" s="182">
        <f t="shared" si="742"/>
        <v>0</v>
      </c>
      <c r="T187" s="182"/>
      <c r="U187" s="182">
        <f t="shared" si="743"/>
        <v>0</v>
      </c>
      <c r="V187" s="182"/>
      <c r="W187" s="183">
        <f t="shared" si="744"/>
        <v>0</v>
      </c>
      <c r="X187" s="183">
        <v>14</v>
      </c>
      <c r="Y187" s="183">
        <v>2437055.6111999997</v>
      </c>
      <c r="Z187" s="183">
        <v>0</v>
      </c>
      <c r="AA187" s="183">
        <v>0</v>
      </c>
      <c r="AB187" s="182">
        <f t="shared" si="745"/>
        <v>14</v>
      </c>
      <c r="AC187" s="182">
        <f t="shared" si="745"/>
        <v>2437055.6111999997</v>
      </c>
      <c r="AD187" s="182"/>
      <c r="AE187" s="182">
        <f t="shared" si="746"/>
        <v>0</v>
      </c>
      <c r="AF187" s="182"/>
      <c r="AG187" s="182"/>
      <c r="AH187" s="182"/>
      <c r="AI187" s="182">
        <f t="shared" si="747"/>
        <v>0</v>
      </c>
      <c r="AJ187" s="182"/>
      <c r="AK187" s="182"/>
      <c r="AL187" s="182"/>
      <c r="AM187" s="182"/>
      <c r="AN187" s="205"/>
      <c r="AO187" s="182">
        <f t="shared" si="748"/>
        <v>0</v>
      </c>
      <c r="AP187" s="182"/>
      <c r="AQ187" s="183">
        <f t="shared" si="749"/>
        <v>0</v>
      </c>
      <c r="AR187" s="182"/>
      <c r="AS187" s="182">
        <f t="shared" si="750"/>
        <v>0</v>
      </c>
      <c r="AT187" s="182"/>
      <c r="AU187" s="182">
        <f t="shared" si="751"/>
        <v>0</v>
      </c>
      <c r="AV187" s="188">
        <v>1</v>
      </c>
      <c r="AW187" s="182">
        <v>208890.48</v>
      </c>
      <c r="AX187" s="182"/>
      <c r="AY187" s="187">
        <f t="shared" si="752"/>
        <v>0</v>
      </c>
      <c r="AZ187" s="182"/>
      <c r="BA187" s="182">
        <f t="shared" si="753"/>
        <v>0</v>
      </c>
      <c r="BB187" s="182">
        <v>0</v>
      </c>
      <c r="BC187" s="182">
        <f t="shared" si="754"/>
        <v>0</v>
      </c>
      <c r="BD187" s="182"/>
      <c r="BE187" s="182">
        <f t="shared" si="755"/>
        <v>0</v>
      </c>
      <c r="BF187" s="182"/>
      <c r="BG187" s="182">
        <f t="shared" si="756"/>
        <v>0</v>
      </c>
      <c r="BH187" s="182"/>
      <c r="BI187" s="183">
        <f t="shared" si="757"/>
        <v>0</v>
      </c>
      <c r="BJ187" s="182"/>
      <c r="BK187" s="183">
        <f t="shared" si="758"/>
        <v>0</v>
      </c>
      <c r="BL187" s="182"/>
      <c r="BM187" s="182">
        <f t="shared" si="759"/>
        <v>0</v>
      </c>
      <c r="BN187" s="182"/>
      <c r="BO187" s="182">
        <f t="shared" si="760"/>
        <v>0</v>
      </c>
      <c r="BP187" s="182"/>
      <c r="BQ187" s="182">
        <f t="shared" si="761"/>
        <v>0</v>
      </c>
      <c r="BR187" s="182"/>
      <c r="BS187" s="183">
        <f t="shared" si="762"/>
        <v>0</v>
      </c>
      <c r="BT187" s="182"/>
      <c r="BU187" s="182">
        <f t="shared" si="763"/>
        <v>0</v>
      </c>
      <c r="BV187" s="182"/>
      <c r="BW187" s="182">
        <f t="shared" si="764"/>
        <v>0</v>
      </c>
      <c r="BX187" s="182"/>
      <c r="BY187" s="183">
        <f t="shared" si="765"/>
        <v>0</v>
      </c>
      <c r="BZ187" s="182"/>
      <c r="CA187" s="187">
        <f t="shared" si="766"/>
        <v>0</v>
      </c>
      <c r="CB187" s="182"/>
      <c r="CC187" s="182">
        <f t="shared" si="767"/>
        <v>0</v>
      </c>
      <c r="CD187" s="182"/>
      <c r="CE187" s="182">
        <f t="shared" si="768"/>
        <v>0</v>
      </c>
      <c r="CF187" s="182"/>
      <c r="CG187" s="182">
        <f t="shared" si="769"/>
        <v>0</v>
      </c>
      <c r="CH187" s="182"/>
      <c r="CI187" s="182">
        <f t="shared" si="770"/>
        <v>0</v>
      </c>
      <c r="CJ187" s="182"/>
      <c r="CK187" s="182"/>
      <c r="CL187" s="182"/>
      <c r="CM187" s="183">
        <f t="shared" si="771"/>
        <v>0</v>
      </c>
      <c r="CN187" s="182"/>
      <c r="CO187" s="183">
        <f t="shared" si="772"/>
        <v>0</v>
      </c>
      <c r="CP187" s="182"/>
      <c r="CQ187" s="182">
        <f t="shared" si="773"/>
        <v>0</v>
      </c>
      <c r="CR187" s="182"/>
      <c r="CS187" s="182">
        <f t="shared" si="774"/>
        <v>0</v>
      </c>
      <c r="CT187" s="182"/>
      <c r="CU187" s="182">
        <f t="shared" si="775"/>
        <v>0</v>
      </c>
      <c r="CV187" s="182"/>
      <c r="CW187" s="182">
        <v>0</v>
      </c>
      <c r="CX187" s="182"/>
      <c r="CY187" s="182">
        <f t="shared" si="776"/>
        <v>0</v>
      </c>
      <c r="CZ187" s="182"/>
      <c r="DA187" s="182">
        <v>0</v>
      </c>
      <c r="DB187" s="188"/>
      <c r="DC187" s="182">
        <f t="shared" si="777"/>
        <v>0</v>
      </c>
      <c r="DD187" s="182"/>
      <c r="DE187" s="187">
        <f t="shared" si="778"/>
        <v>0</v>
      </c>
      <c r="DF187" s="182"/>
      <c r="DG187" s="182">
        <f t="shared" si="779"/>
        <v>0</v>
      </c>
      <c r="DH187" s="189"/>
      <c r="DI187" s="182">
        <f t="shared" si="780"/>
        <v>0</v>
      </c>
      <c r="DJ187" s="182"/>
      <c r="DK187" s="182">
        <f t="shared" si="781"/>
        <v>0</v>
      </c>
      <c r="DL187" s="182"/>
      <c r="DM187" s="182">
        <f t="shared" si="782"/>
        <v>0</v>
      </c>
      <c r="DN187" s="182"/>
      <c r="DO187" s="190">
        <f t="shared" si="783"/>
        <v>0</v>
      </c>
      <c r="DP187" s="187"/>
      <c r="DQ187" s="187"/>
      <c r="DR187" s="183">
        <f t="shared" si="784"/>
        <v>25</v>
      </c>
      <c r="DS187" s="183">
        <f t="shared" si="784"/>
        <v>4013681.3831999996</v>
      </c>
      <c r="DT187" s="182">
        <v>24</v>
      </c>
      <c r="DU187" s="182">
        <v>3804790.9031999996</v>
      </c>
      <c r="DV187" s="167">
        <f t="shared" si="626"/>
        <v>1</v>
      </c>
      <c r="DW187" s="167">
        <f t="shared" si="626"/>
        <v>208890.47999999998</v>
      </c>
    </row>
    <row r="188" spans="1:127" ht="45" customHeight="1" x14ac:dyDescent="0.25">
      <c r="A188" s="154"/>
      <c r="B188" s="176">
        <v>154</v>
      </c>
      <c r="C188" s="177" t="s">
        <v>461</v>
      </c>
      <c r="D188" s="210" t="s">
        <v>462</v>
      </c>
      <c r="E188" s="158">
        <v>25969</v>
      </c>
      <c r="F188" s="179">
        <v>5.31</v>
      </c>
      <c r="G188" s="168">
        <v>1</v>
      </c>
      <c r="H188" s="169"/>
      <c r="I188" s="169"/>
      <c r="J188" s="169"/>
      <c r="K188" s="106"/>
      <c r="L188" s="180">
        <v>1.4</v>
      </c>
      <c r="M188" s="180">
        <v>1.68</v>
      </c>
      <c r="N188" s="180">
        <v>2.23</v>
      </c>
      <c r="O188" s="181">
        <v>2.57</v>
      </c>
      <c r="P188" s="182">
        <v>2</v>
      </c>
      <c r="Q188" s="182">
        <f t="shared" si="741"/>
        <v>424717.80119999999</v>
      </c>
      <c r="R188" s="182"/>
      <c r="S188" s="182">
        <f t="shared" si="742"/>
        <v>0</v>
      </c>
      <c r="T188" s="182"/>
      <c r="U188" s="182">
        <f t="shared" si="743"/>
        <v>0</v>
      </c>
      <c r="V188" s="182"/>
      <c r="W188" s="183">
        <f t="shared" si="744"/>
        <v>0</v>
      </c>
      <c r="X188" s="183">
        <v>65</v>
      </c>
      <c r="Y188" s="183">
        <v>17567872.685999997</v>
      </c>
      <c r="Z188" s="183">
        <v>1</v>
      </c>
      <c r="AA188" s="183">
        <v>324329.95727999992</v>
      </c>
      <c r="AB188" s="182">
        <f t="shared" si="745"/>
        <v>66</v>
      </c>
      <c r="AC188" s="182">
        <f t="shared" si="745"/>
        <v>17892202.643279996</v>
      </c>
      <c r="AD188" s="182"/>
      <c r="AE188" s="182">
        <f t="shared" si="746"/>
        <v>0</v>
      </c>
      <c r="AF188" s="182"/>
      <c r="AG188" s="182"/>
      <c r="AH188" s="182"/>
      <c r="AI188" s="182">
        <f t="shared" si="747"/>
        <v>0</v>
      </c>
      <c r="AJ188" s="182"/>
      <c r="AK188" s="182"/>
      <c r="AL188" s="182"/>
      <c r="AM188" s="182"/>
      <c r="AN188" s="205"/>
      <c r="AO188" s="182">
        <f t="shared" si="748"/>
        <v>0</v>
      </c>
      <c r="AP188" s="182"/>
      <c r="AQ188" s="183">
        <f t="shared" si="749"/>
        <v>0</v>
      </c>
      <c r="AR188" s="182"/>
      <c r="AS188" s="182">
        <f t="shared" si="750"/>
        <v>0</v>
      </c>
      <c r="AT188" s="182"/>
      <c r="AU188" s="182">
        <f t="shared" si="751"/>
        <v>0</v>
      </c>
      <c r="AV188" s="188">
        <v>8</v>
      </c>
      <c r="AW188" s="182">
        <v>2594639.6800000002</v>
      </c>
      <c r="AX188" s="182"/>
      <c r="AY188" s="187">
        <f t="shared" si="752"/>
        <v>0</v>
      </c>
      <c r="AZ188" s="182"/>
      <c r="BA188" s="182">
        <f t="shared" si="753"/>
        <v>0</v>
      </c>
      <c r="BB188" s="182">
        <v>0</v>
      </c>
      <c r="BC188" s="182">
        <f t="shared" si="754"/>
        <v>0</v>
      </c>
      <c r="BD188" s="182"/>
      <c r="BE188" s="182">
        <f t="shared" si="755"/>
        <v>0</v>
      </c>
      <c r="BF188" s="182"/>
      <c r="BG188" s="182">
        <f t="shared" si="756"/>
        <v>0</v>
      </c>
      <c r="BH188" s="182"/>
      <c r="BI188" s="183">
        <f t="shared" si="757"/>
        <v>0</v>
      </c>
      <c r="BJ188" s="182"/>
      <c r="BK188" s="183">
        <f t="shared" si="758"/>
        <v>0</v>
      </c>
      <c r="BL188" s="182"/>
      <c r="BM188" s="182">
        <f t="shared" si="759"/>
        <v>0</v>
      </c>
      <c r="BN188" s="182"/>
      <c r="BO188" s="182">
        <f t="shared" si="760"/>
        <v>0</v>
      </c>
      <c r="BP188" s="182"/>
      <c r="BQ188" s="182">
        <f t="shared" si="761"/>
        <v>0</v>
      </c>
      <c r="BR188" s="182"/>
      <c r="BS188" s="183">
        <f t="shared" si="762"/>
        <v>0</v>
      </c>
      <c r="BT188" s="182"/>
      <c r="BU188" s="182">
        <f t="shared" si="763"/>
        <v>0</v>
      </c>
      <c r="BV188" s="182"/>
      <c r="BW188" s="182">
        <f t="shared" si="764"/>
        <v>0</v>
      </c>
      <c r="BX188" s="182"/>
      <c r="BY188" s="183">
        <f t="shared" si="765"/>
        <v>0</v>
      </c>
      <c r="BZ188" s="182"/>
      <c r="CA188" s="187">
        <f t="shared" si="766"/>
        <v>0</v>
      </c>
      <c r="CB188" s="182"/>
      <c r="CC188" s="182">
        <f t="shared" si="767"/>
        <v>0</v>
      </c>
      <c r="CD188" s="182"/>
      <c r="CE188" s="182">
        <f t="shared" si="768"/>
        <v>0</v>
      </c>
      <c r="CF188" s="182"/>
      <c r="CG188" s="182">
        <f t="shared" si="769"/>
        <v>0</v>
      </c>
      <c r="CH188" s="182"/>
      <c r="CI188" s="182">
        <f t="shared" si="770"/>
        <v>0</v>
      </c>
      <c r="CJ188" s="182"/>
      <c r="CK188" s="182"/>
      <c r="CL188" s="182"/>
      <c r="CM188" s="183">
        <f t="shared" si="771"/>
        <v>0</v>
      </c>
      <c r="CN188" s="182"/>
      <c r="CO188" s="183">
        <f t="shared" si="772"/>
        <v>0</v>
      </c>
      <c r="CP188" s="182"/>
      <c r="CQ188" s="182">
        <f t="shared" si="773"/>
        <v>0</v>
      </c>
      <c r="CR188" s="182"/>
      <c r="CS188" s="182">
        <f t="shared" si="774"/>
        <v>0</v>
      </c>
      <c r="CT188" s="182"/>
      <c r="CU188" s="182">
        <f t="shared" si="775"/>
        <v>0</v>
      </c>
      <c r="CV188" s="182"/>
      <c r="CW188" s="182">
        <v>0</v>
      </c>
      <c r="CX188" s="182"/>
      <c r="CY188" s="182">
        <f t="shared" si="776"/>
        <v>0</v>
      </c>
      <c r="CZ188" s="182"/>
      <c r="DA188" s="182">
        <v>0</v>
      </c>
      <c r="DB188" s="188"/>
      <c r="DC188" s="182">
        <f t="shared" si="777"/>
        <v>0</v>
      </c>
      <c r="DD188" s="182"/>
      <c r="DE188" s="187">
        <f t="shared" si="778"/>
        <v>0</v>
      </c>
      <c r="DF188" s="182"/>
      <c r="DG188" s="182">
        <f t="shared" si="779"/>
        <v>0</v>
      </c>
      <c r="DH188" s="189"/>
      <c r="DI188" s="182">
        <f t="shared" si="780"/>
        <v>0</v>
      </c>
      <c r="DJ188" s="182"/>
      <c r="DK188" s="182">
        <f t="shared" si="781"/>
        <v>0</v>
      </c>
      <c r="DL188" s="182"/>
      <c r="DM188" s="182">
        <f t="shared" si="782"/>
        <v>0</v>
      </c>
      <c r="DN188" s="182"/>
      <c r="DO188" s="190">
        <f t="shared" si="783"/>
        <v>0</v>
      </c>
      <c r="DP188" s="187"/>
      <c r="DQ188" s="187"/>
      <c r="DR188" s="183">
        <f t="shared" si="784"/>
        <v>76</v>
      </c>
      <c r="DS188" s="183">
        <f t="shared" si="784"/>
        <v>20911560.124479994</v>
      </c>
      <c r="DT188" s="182">
        <v>77</v>
      </c>
      <c r="DU188" s="182">
        <v>21235890.059999995</v>
      </c>
      <c r="DV188" s="167">
        <f t="shared" si="626"/>
        <v>-1</v>
      </c>
      <c r="DW188" s="167">
        <f t="shared" si="626"/>
        <v>-324329.93552000076</v>
      </c>
    </row>
    <row r="189" spans="1:127" ht="45" customHeight="1" x14ac:dyDescent="0.25">
      <c r="A189" s="154"/>
      <c r="B189" s="176">
        <v>155</v>
      </c>
      <c r="C189" s="177" t="s">
        <v>463</v>
      </c>
      <c r="D189" s="210" t="s">
        <v>464</v>
      </c>
      <c r="E189" s="158">
        <v>25969</v>
      </c>
      <c r="F189" s="179">
        <v>2.86</v>
      </c>
      <c r="G189" s="168">
        <v>1</v>
      </c>
      <c r="H189" s="169"/>
      <c r="I189" s="169"/>
      <c r="J189" s="169"/>
      <c r="K189" s="106"/>
      <c r="L189" s="180">
        <v>1.4</v>
      </c>
      <c r="M189" s="180">
        <v>1.68</v>
      </c>
      <c r="N189" s="180">
        <v>2.23</v>
      </c>
      <c r="O189" s="181">
        <v>2.57</v>
      </c>
      <c r="P189" s="182">
        <v>0</v>
      </c>
      <c r="Q189" s="182">
        <f t="shared" si="741"/>
        <v>0</v>
      </c>
      <c r="R189" s="182"/>
      <c r="S189" s="182">
        <f t="shared" si="742"/>
        <v>0</v>
      </c>
      <c r="T189" s="182"/>
      <c r="U189" s="182">
        <f t="shared" si="743"/>
        <v>0</v>
      </c>
      <c r="V189" s="182"/>
      <c r="W189" s="183">
        <f t="shared" si="744"/>
        <v>0</v>
      </c>
      <c r="X189" s="183">
        <v>3</v>
      </c>
      <c r="Y189" s="183">
        <v>436715.47919999994</v>
      </c>
      <c r="Z189" s="183">
        <v>0</v>
      </c>
      <c r="AA189" s="183">
        <v>0</v>
      </c>
      <c r="AB189" s="182">
        <f t="shared" si="745"/>
        <v>3</v>
      </c>
      <c r="AC189" s="182">
        <f t="shared" si="745"/>
        <v>436715.47919999994</v>
      </c>
      <c r="AD189" s="182"/>
      <c r="AE189" s="182">
        <f t="shared" si="746"/>
        <v>0</v>
      </c>
      <c r="AF189" s="182"/>
      <c r="AG189" s="182"/>
      <c r="AH189" s="182"/>
      <c r="AI189" s="182">
        <f t="shared" si="747"/>
        <v>0</v>
      </c>
      <c r="AJ189" s="182"/>
      <c r="AK189" s="182"/>
      <c r="AL189" s="182"/>
      <c r="AM189" s="182"/>
      <c r="AN189" s="205"/>
      <c r="AO189" s="182">
        <f t="shared" si="748"/>
        <v>0</v>
      </c>
      <c r="AP189" s="182"/>
      <c r="AQ189" s="183">
        <f t="shared" si="749"/>
        <v>0</v>
      </c>
      <c r="AR189" s="182"/>
      <c r="AS189" s="182">
        <f t="shared" si="750"/>
        <v>0</v>
      </c>
      <c r="AT189" s="182"/>
      <c r="AU189" s="182">
        <f t="shared" si="751"/>
        <v>0</v>
      </c>
      <c r="AV189" s="188">
        <v>2</v>
      </c>
      <c r="AW189" s="182">
        <v>349372.38</v>
      </c>
      <c r="AX189" s="182"/>
      <c r="AY189" s="187">
        <f t="shared" si="752"/>
        <v>0</v>
      </c>
      <c r="AZ189" s="182"/>
      <c r="BA189" s="182">
        <f t="shared" si="753"/>
        <v>0</v>
      </c>
      <c r="BB189" s="182">
        <v>0</v>
      </c>
      <c r="BC189" s="182">
        <f t="shared" si="754"/>
        <v>0</v>
      </c>
      <c r="BD189" s="182"/>
      <c r="BE189" s="182">
        <f t="shared" si="755"/>
        <v>0</v>
      </c>
      <c r="BF189" s="182"/>
      <c r="BG189" s="182">
        <f t="shared" si="756"/>
        <v>0</v>
      </c>
      <c r="BH189" s="182"/>
      <c r="BI189" s="183">
        <f t="shared" si="757"/>
        <v>0</v>
      </c>
      <c r="BJ189" s="182"/>
      <c r="BK189" s="183">
        <f t="shared" si="758"/>
        <v>0</v>
      </c>
      <c r="BL189" s="182"/>
      <c r="BM189" s="182">
        <f t="shared" si="759"/>
        <v>0</v>
      </c>
      <c r="BN189" s="182"/>
      <c r="BO189" s="182">
        <f t="shared" si="760"/>
        <v>0</v>
      </c>
      <c r="BP189" s="182"/>
      <c r="BQ189" s="182">
        <f t="shared" si="761"/>
        <v>0</v>
      </c>
      <c r="BR189" s="182"/>
      <c r="BS189" s="183">
        <f t="shared" si="762"/>
        <v>0</v>
      </c>
      <c r="BT189" s="182"/>
      <c r="BU189" s="182">
        <f t="shared" si="763"/>
        <v>0</v>
      </c>
      <c r="BV189" s="182"/>
      <c r="BW189" s="182">
        <f t="shared" si="764"/>
        <v>0</v>
      </c>
      <c r="BX189" s="182"/>
      <c r="BY189" s="183">
        <f t="shared" si="765"/>
        <v>0</v>
      </c>
      <c r="BZ189" s="182"/>
      <c r="CA189" s="187">
        <f t="shared" si="766"/>
        <v>0</v>
      </c>
      <c r="CB189" s="182"/>
      <c r="CC189" s="182">
        <f t="shared" si="767"/>
        <v>0</v>
      </c>
      <c r="CD189" s="182"/>
      <c r="CE189" s="182">
        <f t="shared" si="768"/>
        <v>0</v>
      </c>
      <c r="CF189" s="182"/>
      <c r="CG189" s="182">
        <f t="shared" si="769"/>
        <v>0</v>
      </c>
      <c r="CH189" s="182"/>
      <c r="CI189" s="182">
        <f t="shared" si="770"/>
        <v>0</v>
      </c>
      <c r="CJ189" s="182"/>
      <c r="CK189" s="182"/>
      <c r="CL189" s="182"/>
      <c r="CM189" s="183">
        <f t="shared" si="771"/>
        <v>0</v>
      </c>
      <c r="CN189" s="182"/>
      <c r="CO189" s="183">
        <f t="shared" si="772"/>
        <v>0</v>
      </c>
      <c r="CP189" s="182"/>
      <c r="CQ189" s="182">
        <f t="shared" si="773"/>
        <v>0</v>
      </c>
      <c r="CR189" s="182"/>
      <c r="CS189" s="182">
        <f t="shared" si="774"/>
        <v>0</v>
      </c>
      <c r="CT189" s="182"/>
      <c r="CU189" s="182">
        <f t="shared" si="775"/>
        <v>0</v>
      </c>
      <c r="CV189" s="182"/>
      <c r="CW189" s="182">
        <v>0</v>
      </c>
      <c r="CX189" s="182"/>
      <c r="CY189" s="182">
        <f t="shared" si="776"/>
        <v>0</v>
      </c>
      <c r="CZ189" s="182"/>
      <c r="DA189" s="182">
        <v>0</v>
      </c>
      <c r="DB189" s="188"/>
      <c r="DC189" s="182">
        <f t="shared" si="777"/>
        <v>0</v>
      </c>
      <c r="DD189" s="182"/>
      <c r="DE189" s="187">
        <f t="shared" si="778"/>
        <v>0</v>
      </c>
      <c r="DF189" s="182"/>
      <c r="DG189" s="182">
        <f t="shared" si="779"/>
        <v>0</v>
      </c>
      <c r="DH189" s="189"/>
      <c r="DI189" s="182">
        <f t="shared" si="780"/>
        <v>0</v>
      </c>
      <c r="DJ189" s="182"/>
      <c r="DK189" s="182">
        <f t="shared" si="781"/>
        <v>0</v>
      </c>
      <c r="DL189" s="182"/>
      <c r="DM189" s="182">
        <f t="shared" si="782"/>
        <v>0</v>
      </c>
      <c r="DN189" s="182"/>
      <c r="DO189" s="190">
        <f t="shared" si="783"/>
        <v>0</v>
      </c>
      <c r="DP189" s="187"/>
      <c r="DQ189" s="187"/>
      <c r="DR189" s="183">
        <f t="shared" si="784"/>
        <v>5</v>
      </c>
      <c r="DS189" s="183">
        <f t="shared" si="784"/>
        <v>786087.85919999995</v>
      </c>
      <c r="DT189" s="182">
        <v>5</v>
      </c>
      <c r="DU189" s="182">
        <v>786087.86255999992</v>
      </c>
      <c r="DV189" s="167">
        <f t="shared" si="626"/>
        <v>0</v>
      </c>
      <c r="DW189" s="167">
        <f t="shared" si="626"/>
        <v>-3.3599999733269215E-3</v>
      </c>
    </row>
    <row r="190" spans="1:127" ht="45" customHeight="1" x14ac:dyDescent="0.25">
      <c r="A190" s="154"/>
      <c r="B190" s="176">
        <v>156</v>
      </c>
      <c r="C190" s="177" t="s">
        <v>465</v>
      </c>
      <c r="D190" s="210" t="s">
        <v>466</v>
      </c>
      <c r="E190" s="158">
        <v>25969</v>
      </c>
      <c r="F190" s="179">
        <v>4.3099999999999996</v>
      </c>
      <c r="G190" s="168">
        <v>1</v>
      </c>
      <c r="H190" s="169"/>
      <c r="I190" s="169"/>
      <c r="J190" s="169"/>
      <c r="K190" s="195"/>
      <c r="L190" s="180">
        <v>1.4</v>
      </c>
      <c r="M190" s="180">
        <v>1.68</v>
      </c>
      <c r="N190" s="180">
        <v>2.23</v>
      </c>
      <c r="O190" s="181">
        <v>2.57</v>
      </c>
      <c r="P190" s="182">
        <v>12</v>
      </c>
      <c r="Q190" s="182">
        <f t="shared" si="741"/>
        <v>2068399.6871999998</v>
      </c>
      <c r="R190" s="182"/>
      <c r="S190" s="182">
        <f t="shared" si="742"/>
        <v>0</v>
      </c>
      <c r="T190" s="182"/>
      <c r="U190" s="182">
        <f t="shared" si="743"/>
        <v>0</v>
      </c>
      <c r="V190" s="182"/>
      <c r="W190" s="183">
        <f t="shared" si="744"/>
        <v>0</v>
      </c>
      <c r="X190" s="183">
        <v>51</v>
      </c>
      <c r="Y190" s="183">
        <v>11188161.944399998</v>
      </c>
      <c r="Z190" s="183">
        <v>0</v>
      </c>
      <c r="AA190" s="183">
        <v>0</v>
      </c>
      <c r="AB190" s="182">
        <f t="shared" si="745"/>
        <v>51</v>
      </c>
      <c r="AC190" s="182">
        <f t="shared" si="745"/>
        <v>11188161.944399998</v>
      </c>
      <c r="AD190" s="182"/>
      <c r="AE190" s="182">
        <f t="shared" si="746"/>
        <v>0</v>
      </c>
      <c r="AF190" s="182"/>
      <c r="AG190" s="182"/>
      <c r="AH190" s="182">
        <v>2</v>
      </c>
      <c r="AI190" s="182">
        <f t="shared" si="747"/>
        <v>344733.28119999997</v>
      </c>
      <c r="AJ190" s="182"/>
      <c r="AK190" s="182"/>
      <c r="AL190" s="182"/>
      <c r="AM190" s="182"/>
      <c r="AN190" s="205"/>
      <c r="AO190" s="182">
        <f t="shared" si="748"/>
        <v>0</v>
      </c>
      <c r="AP190" s="182">
        <v>3</v>
      </c>
      <c r="AQ190" s="183">
        <f t="shared" si="749"/>
        <v>517099.92179999995</v>
      </c>
      <c r="AR190" s="182"/>
      <c r="AS190" s="182">
        <f t="shared" si="750"/>
        <v>0</v>
      </c>
      <c r="AT190" s="182"/>
      <c r="AU190" s="182">
        <f t="shared" si="751"/>
        <v>0</v>
      </c>
      <c r="AV190" s="188">
        <v>3</v>
      </c>
      <c r="AW190" s="182">
        <v>789752.61</v>
      </c>
      <c r="AX190" s="182"/>
      <c r="AY190" s="187">
        <f t="shared" si="752"/>
        <v>0</v>
      </c>
      <c r="AZ190" s="182"/>
      <c r="BA190" s="182">
        <f t="shared" si="753"/>
        <v>0</v>
      </c>
      <c r="BB190" s="182">
        <v>0</v>
      </c>
      <c r="BC190" s="182">
        <f t="shared" si="754"/>
        <v>0</v>
      </c>
      <c r="BD190" s="182"/>
      <c r="BE190" s="182">
        <f t="shared" si="755"/>
        <v>0</v>
      </c>
      <c r="BF190" s="182"/>
      <c r="BG190" s="182">
        <f t="shared" si="756"/>
        <v>0</v>
      </c>
      <c r="BH190" s="182"/>
      <c r="BI190" s="183">
        <f t="shared" si="757"/>
        <v>0</v>
      </c>
      <c r="BJ190" s="182"/>
      <c r="BK190" s="183">
        <f t="shared" si="758"/>
        <v>0</v>
      </c>
      <c r="BL190" s="182"/>
      <c r="BM190" s="182">
        <f t="shared" si="759"/>
        <v>0</v>
      </c>
      <c r="BN190" s="182"/>
      <c r="BO190" s="182">
        <f t="shared" si="760"/>
        <v>0</v>
      </c>
      <c r="BP190" s="182"/>
      <c r="BQ190" s="182">
        <f t="shared" si="761"/>
        <v>0</v>
      </c>
      <c r="BR190" s="182"/>
      <c r="BS190" s="183">
        <f t="shared" si="762"/>
        <v>0</v>
      </c>
      <c r="BT190" s="182"/>
      <c r="BU190" s="182">
        <f t="shared" si="763"/>
        <v>0</v>
      </c>
      <c r="BV190" s="182"/>
      <c r="BW190" s="182">
        <f t="shared" si="764"/>
        <v>0</v>
      </c>
      <c r="BX190" s="182"/>
      <c r="BY190" s="183">
        <f t="shared" si="765"/>
        <v>0</v>
      </c>
      <c r="BZ190" s="182"/>
      <c r="CA190" s="187">
        <f t="shared" si="766"/>
        <v>0</v>
      </c>
      <c r="CB190" s="182"/>
      <c r="CC190" s="182">
        <f t="shared" si="767"/>
        <v>0</v>
      </c>
      <c r="CD190" s="182"/>
      <c r="CE190" s="182">
        <f t="shared" si="768"/>
        <v>0</v>
      </c>
      <c r="CF190" s="182"/>
      <c r="CG190" s="182">
        <f t="shared" si="769"/>
        <v>0</v>
      </c>
      <c r="CH190" s="182"/>
      <c r="CI190" s="182">
        <f t="shared" si="770"/>
        <v>0</v>
      </c>
      <c r="CJ190" s="182"/>
      <c r="CK190" s="182"/>
      <c r="CL190" s="182"/>
      <c r="CM190" s="183">
        <f t="shared" si="771"/>
        <v>0</v>
      </c>
      <c r="CN190" s="182"/>
      <c r="CO190" s="183">
        <f t="shared" si="772"/>
        <v>0</v>
      </c>
      <c r="CP190" s="182"/>
      <c r="CQ190" s="182">
        <f t="shared" si="773"/>
        <v>0</v>
      </c>
      <c r="CR190" s="182"/>
      <c r="CS190" s="182">
        <f t="shared" si="774"/>
        <v>0</v>
      </c>
      <c r="CT190" s="182"/>
      <c r="CU190" s="182">
        <f t="shared" si="775"/>
        <v>0</v>
      </c>
      <c r="CV190" s="182"/>
      <c r="CW190" s="182">
        <v>0</v>
      </c>
      <c r="CX190" s="182"/>
      <c r="CY190" s="182">
        <f t="shared" si="776"/>
        <v>0</v>
      </c>
      <c r="CZ190" s="182"/>
      <c r="DA190" s="182">
        <v>0</v>
      </c>
      <c r="DB190" s="188"/>
      <c r="DC190" s="182">
        <f t="shared" si="777"/>
        <v>0</v>
      </c>
      <c r="DD190" s="182"/>
      <c r="DE190" s="187">
        <f t="shared" si="778"/>
        <v>0</v>
      </c>
      <c r="DF190" s="182"/>
      <c r="DG190" s="182">
        <f t="shared" si="779"/>
        <v>0</v>
      </c>
      <c r="DH190" s="189"/>
      <c r="DI190" s="182">
        <f t="shared" si="780"/>
        <v>0</v>
      </c>
      <c r="DJ190" s="182"/>
      <c r="DK190" s="182">
        <f t="shared" si="781"/>
        <v>0</v>
      </c>
      <c r="DL190" s="182"/>
      <c r="DM190" s="182">
        <f t="shared" si="782"/>
        <v>0</v>
      </c>
      <c r="DN190" s="182"/>
      <c r="DO190" s="190">
        <f t="shared" si="783"/>
        <v>0</v>
      </c>
      <c r="DP190" s="187"/>
      <c r="DQ190" s="187"/>
      <c r="DR190" s="183">
        <f t="shared" si="784"/>
        <v>71</v>
      </c>
      <c r="DS190" s="183">
        <f t="shared" si="784"/>
        <v>14908147.444599997</v>
      </c>
      <c r="DT190" s="182">
        <v>72</v>
      </c>
      <c r="DU190" s="182">
        <v>15171398.311719997</v>
      </c>
      <c r="DV190" s="167">
        <f t="shared" si="626"/>
        <v>-1</v>
      </c>
      <c r="DW190" s="167">
        <f t="shared" si="626"/>
        <v>-263250.8671199996</v>
      </c>
    </row>
    <row r="191" spans="1:127" x14ac:dyDescent="0.25">
      <c r="A191" s="154"/>
      <c r="B191" s="176">
        <v>157</v>
      </c>
      <c r="C191" s="177" t="s">
        <v>467</v>
      </c>
      <c r="D191" s="210" t="s">
        <v>468</v>
      </c>
      <c r="E191" s="158">
        <v>25969</v>
      </c>
      <c r="F191" s="179">
        <v>1.1100000000000001</v>
      </c>
      <c r="G191" s="168">
        <v>1</v>
      </c>
      <c r="H191" s="169"/>
      <c r="I191" s="169"/>
      <c r="J191" s="169"/>
      <c r="K191" s="195">
        <v>0.28129999999999999</v>
      </c>
      <c r="L191" s="180">
        <v>1.4</v>
      </c>
      <c r="M191" s="180">
        <v>1.68</v>
      </c>
      <c r="N191" s="180">
        <v>2.23</v>
      </c>
      <c r="O191" s="181">
        <v>2.57</v>
      </c>
      <c r="P191" s="182">
        <v>1</v>
      </c>
      <c r="Q191" s="196">
        <f t="shared" ref="Q191:S192" si="787">(P191*$E191*$F191*((1-$K191)+$K191*$L191*$Q$12*$G191))</f>
        <v>33204.254772180007</v>
      </c>
      <c r="R191" s="182">
        <v>3</v>
      </c>
      <c r="S191" s="182">
        <f t="shared" si="787"/>
        <v>99612.764316540008</v>
      </c>
      <c r="T191" s="182"/>
      <c r="U191" s="182"/>
      <c r="V191" s="182"/>
      <c r="W191" s="183"/>
      <c r="X191" s="183"/>
      <c r="Y191" s="183">
        <v>0</v>
      </c>
      <c r="Z191" s="183">
        <v>0</v>
      </c>
      <c r="AA191" s="183"/>
      <c r="AB191" s="182">
        <f t="shared" si="745"/>
        <v>0</v>
      </c>
      <c r="AC191" s="182">
        <f t="shared" si="745"/>
        <v>0</v>
      </c>
      <c r="AD191" s="182"/>
      <c r="AE191" s="182"/>
      <c r="AF191" s="182"/>
      <c r="AG191" s="182"/>
      <c r="AH191" s="182"/>
      <c r="AI191" s="182"/>
      <c r="AJ191" s="182"/>
      <c r="AK191" s="182"/>
      <c r="AL191" s="182"/>
      <c r="AM191" s="182"/>
      <c r="AN191" s="205"/>
      <c r="AO191" s="182"/>
      <c r="AP191" s="182"/>
      <c r="AQ191" s="183"/>
      <c r="AR191" s="182"/>
      <c r="AS191" s="182"/>
      <c r="AT191" s="182"/>
      <c r="AU191" s="182"/>
      <c r="AV191" s="188">
        <v>0</v>
      </c>
      <c r="AW191" s="182">
        <v>0</v>
      </c>
      <c r="AX191" s="182"/>
      <c r="AY191" s="187"/>
      <c r="AZ191" s="182"/>
      <c r="BA191" s="182"/>
      <c r="BB191" s="182"/>
      <c r="BC191" s="182"/>
      <c r="BD191" s="182"/>
      <c r="BE191" s="182"/>
      <c r="BF191" s="182"/>
      <c r="BG191" s="182"/>
      <c r="BH191" s="182"/>
      <c r="BI191" s="183"/>
      <c r="BJ191" s="182"/>
      <c r="BK191" s="183"/>
      <c r="BL191" s="182"/>
      <c r="BM191" s="182"/>
      <c r="BN191" s="182"/>
      <c r="BO191" s="182"/>
      <c r="BP191" s="182"/>
      <c r="BQ191" s="182"/>
      <c r="BR191" s="182"/>
      <c r="BS191" s="183"/>
      <c r="BT191" s="182"/>
      <c r="BU191" s="182"/>
      <c r="BV191" s="182"/>
      <c r="BW191" s="182"/>
      <c r="BX191" s="182"/>
      <c r="BY191" s="183"/>
      <c r="BZ191" s="182"/>
      <c r="CA191" s="187"/>
      <c r="CB191" s="182"/>
      <c r="CC191" s="182"/>
      <c r="CD191" s="182"/>
      <c r="CE191" s="182"/>
      <c r="CF191" s="182"/>
      <c r="CG191" s="182"/>
      <c r="CH191" s="182"/>
      <c r="CI191" s="182"/>
      <c r="CJ191" s="182"/>
      <c r="CK191" s="182"/>
      <c r="CL191" s="182"/>
      <c r="CM191" s="183"/>
      <c r="CN191" s="182"/>
      <c r="CO191" s="183"/>
      <c r="CP191" s="182"/>
      <c r="CQ191" s="182"/>
      <c r="CR191" s="182"/>
      <c r="CS191" s="182"/>
      <c r="CT191" s="182"/>
      <c r="CU191" s="182"/>
      <c r="CV191" s="182"/>
      <c r="CW191" s="182">
        <v>0</v>
      </c>
      <c r="CX191" s="182"/>
      <c r="CY191" s="182"/>
      <c r="CZ191" s="182"/>
      <c r="DA191" s="182">
        <v>0</v>
      </c>
      <c r="DB191" s="188"/>
      <c r="DC191" s="182"/>
      <c r="DD191" s="182"/>
      <c r="DE191" s="187"/>
      <c r="DF191" s="182"/>
      <c r="DG191" s="182"/>
      <c r="DH191" s="189"/>
      <c r="DI191" s="182"/>
      <c r="DJ191" s="182"/>
      <c r="DK191" s="182"/>
      <c r="DL191" s="182"/>
      <c r="DM191" s="182"/>
      <c r="DN191" s="182"/>
      <c r="DO191" s="190"/>
      <c r="DP191" s="187"/>
      <c r="DQ191" s="187"/>
      <c r="DR191" s="183">
        <f t="shared" si="784"/>
        <v>4</v>
      </c>
      <c r="DS191" s="183">
        <f t="shared" si="784"/>
        <v>132817.01908872003</v>
      </c>
      <c r="DT191" s="182">
        <v>4</v>
      </c>
      <c r="DU191" s="182">
        <v>132817.01908872003</v>
      </c>
      <c r="DV191" s="167">
        <f t="shared" si="626"/>
        <v>0</v>
      </c>
      <c r="DW191" s="167">
        <f t="shared" si="626"/>
        <v>0</v>
      </c>
    </row>
    <row r="192" spans="1:127" ht="20.25" customHeight="1" x14ac:dyDescent="0.25">
      <c r="A192" s="154"/>
      <c r="B192" s="176">
        <v>158</v>
      </c>
      <c r="C192" s="177" t="s">
        <v>469</v>
      </c>
      <c r="D192" s="210" t="s">
        <v>470</v>
      </c>
      <c r="E192" s="158">
        <v>25969</v>
      </c>
      <c r="F192" s="179">
        <v>2.9</v>
      </c>
      <c r="G192" s="168">
        <v>1</v>
      </c>
      <c r="H192" s="169"/>
      <c r="I192" s="169"/>
      <c r="J192" s="169"/>
      <c r="K192" s="195">
        <v>0.39560000000000001</v>
      </c>
      <c r="L192" s="180">
        <v>1.4</v>
      </c>
      <c r="M192" s="180">
        <v>1.68</v>
      </c>
      <c r="N192" s="180">
        <v>2.23</v>
      </c>
      <c r="O192" s="181">
        <v>2.57</v>
      </c>
      <c r="P192" s="182">
        <v>3</v>
      </c>
      <c r="Q192" s="196">
        <f t="shared" si="787"/>
        <v>274194.43440720002</v>
      </c>
      <c r="R192" s="182"/>
      <c r="S192" s="182"/>
      <c r="T192" s="182"/>
      <c r="U192" s="182"/>
      <c r="V192" s="182"/>
      <c r="W192" s="183"/>
      <c r="X192" s="183">
        <v>3</v>
      </c>
      <c r="Y192" s="183">
        <v>311733.20561280003</v>
      </c>
      <c r="Z192" s="183">
        <v>0</v>
      </c>
      <c r="AA192" s="183">
        <v>0</v>
      </c>
      <c r="AB192" s="182">
        <f t="shared" si="745"/>
        <v>3</v>
      </c>
      <c r="AC192" s="182">
        <f t="shared" si="745"/>
        <v>311733.20561280003</v>
      </c>
      <c r="AD192" s="182"/>
      <c r="AE192" s="182"/>
      <c r="AF192" s="182"/>
      <c r="AG192" s="182"/>
      <c r="AH192" s="182"/>
      <c r="AI192" s="182"/>
      <c r="AJ192" s="182"/>
      <c r="AK192" s="182"/>
      <c r="AL192" s="182"/>
      <c r="AM192" s="182"/>
      <c r="AN192" s="205"/>
      <c r="AO192" s="182"/>
      <c r="AP192" s="182"/>
      <c r="AQ192" s="183"/>
      <c r="AR192" s="182"/>
      <c r="AS192" s="182"/>
      <c r="AT192" s="182"/>
      <c r="AU192" s="182"/>
      <c r="AV192" s="188">
        <v>1</v>
      </c>
      <c r="AW192" s="196">
        <v>115589.8</v>
      </c>
      <c r="AX192" s="182"/>
      <c r="AY192" s="187"/>
      <c r="AZ192" s="182"/>
      <c r="BA192" s="182"/>
      <c r="BB192" s="182"/>
      <c r="BC192" s="182"/>
      <c r="BD192" s="182"/>
      <c r="BE192" s="182"/>
      <c r="BF192" s="182"/>
      <c r="BG192" s="182"/>
      <c r="BH192" s="182"/>
      <c r="BI192" s="183"/>
      <c r="BJ192" s="182"/>
      <c r="BK192" s="183"/>
      <c r="BL192" s="182"/>
      <c r="BM192" s="182"/>
      <c r="BN192" s="182"/>
      <c r="BO192" s="182"/>
      <c r="BP192" s="182"/>
      <c r="BQ192" s="182"/>
      <c r="BR192" s="182"/>
      <c r="BS192" s="183"/>
      <c r="BT192" s="182"/>
      <c r="BU192" s="182"/>
      <c r="BV192" s="182"/>
      <c r="BW192" s="182"/>
      <c r="BX192" s="182"/>
      <c r="BY192" s="183"/>
      <c r="BZ192" s="182"/>
      <c r="CA192" s="187"/>
      <c r="CB192" s="182"/>
      <c r="CC192" s="182"/>
      <c r="CD192" s="182"/>
      <c r="CE192" s="182"/>
      <c r="CF192" s="182"/>
      <c r="CG192" s="182"/>
      <c r="CH192" s="182"/>
      <c r="CI192" s="182"/>
      <c r="CJ192" s="182"/>
      <c r="CK192" s="182"/>
      <c r="CL192" s="182"/>
      <c r="CM192" s="183"/>
      <c r="CN192" s="182"/>
      <c r="CO192" s="183"/>
      <c r="CP192" s="182"/>
      <c r="CQ192" s="182"/>
      <c r="CR192" s="182"/>
      <c r="CS192" s="182"/>
      <c r="CT192" s="182"/>
      <c r="CU192" s="182"/>
      <c r="CV192" s="182"/>
      <c r="CW192" s="182">
        <v>0</v>
      </c>
      <c r="CX192" s="182"/>
      <c r="CY192" s="182"/>
      <c r="CZ192" s="182"/>
      <c r="DA192" s="182">
        <v>0</v>
      </c>
      <c r="DB192" s="188"/>
      <c r="DC192" s="182"/>
      <c r="DD192" s="182"/>
      <c r="DE192" s="187"/>
      <c r="DF192" s="182"/>
      <c r="DG192" s="182"/>
      <c r="DH192" s="189"/>
      <c r="DI192" s="182"/>
      <c r="DJ192" s="182"/>
      <c r="DK192" s="182"/>
      <c r="DL192" s="182"/>
      <c r="DM192" s="182"/>
      <c r="DN192" s="182"/>
      <c r="DO192" s="190"/>
      <c r="DP192" s="187"/>
      <c r="DQ192" s="187"/>
      <c r="DR192" s="183">
        <f t="shared" si="784"/>
        <v>7</v>
      </c>
      <c r="DS192" s="183">
        <f t="shared" si="784"/>
        <v>701517.4400200001</v>
      </c>
      <c r="DT192" s="182">
        <v>8</v>
      </c>
      <c r="DU192" s="182">
        <v>817107.23473423999</v>
      </c>
      <c r="DV192" s="167">
        <f t="shared" si="626"/>
        <v>-1</v>
      </c>
      <c r="DW192" s="167">
        <f t="shared" si="626"/>
        <v>-115589.79471423989</v>
      </c>
    </row>
    <row r="193" spans="1:127" ht="45" customHeight="1" x14ac:dyDescent="0.25">
      <c r="A193" s="154"/>
      <c r="B193" s="176">
        <v>159</v>
      </c>
      <c r="C193" s="177" t="s">
        <v>471</v>
      </c>
      <c r="D193" s="210" t="s">
        <v>472</v>
      </c>
      <c r="E193" s="158">
        <v>25969</v>
      </c>
      <c r="F193" s="179">
        <v>2.93</v>
      </c>
      <c r="G193" s="168">
        <v>1</v>
      </c>
      <c r="H193" s="169"/>
      <c r="I193" s="169"/>
      <c r="J193" s="169"/>
      <c r="K193" s="106"/>
      <c r="L193" s="180">
        <v>1.4</v>
      </c>
      <c r="M193" s="180">
        <v>1.68</v>
      </c>
      <c r="N193" s="180">
        <v>2.23</v>
      </c>
      <c r="O193" s="181">
        <v>2.57</v>
      </c>
      <c r="P193" s="182">
        <v>3</v>
      </c>
      <c r="Q193" s="182">
        <f t="shared" ref="Q193:Q202" si="788">(P193*$E193*$F193*$G193*$L193*$Q$12)</f>
        <v>351531.96539999999</v>
      </c>
      <c r="R193" s="182"/>
      <c r="S193" s="182">
        <f t="shared" si="742"/>
        <v>0</v>
      </c>
      <c r="T193" s="182"/>
      <c r="U193" s="182">
        <f t="shared" ref="U193:U202" si="789">(T193/12*11*$E193*$F193*$G193*$L193*$U$12)+(T193/12*1*$E193*$F193*$G193*$L193*$U$14)</f>
        <v>0</v>
      </c>
      <c r="V193" s="182"/>
      <c r="W193" s="183">
        <f t="shared" ref="W193:W202" si="790">(V193*$E193*$F193*$G193*$L193*$W$12)/12*10+(V193*$E193*$F193*$G193*$L193*$W$13)/12*1++(V193*$E193*$F193*$G193*$L193*$W$14)/12*1</f>
        <v>0</v>
      </c>
      <c r="X193" s="183"/>
      <c r="Y193" s="183">
        <v>0</v>
      </c>
      <c r="Z193" s="183">
        <v>1</v>
      </c>
      <c r="AA193" s="183">
        <v>178961.72783999998</v>
      </c>
      <c r="AB193" s="182">
        <f t="shared" si="745"/>
        <v>1</v>
      </c>
      <c r="AC193" s="182">
        <f t="shared" si="745"/>
        <v>178961.72783999998</v>
      </c>
      <c r="AD193" s="182"/>
      <c r="AE193" s="182">
        <f t="shared" ref="AE193:AE202" si="791">(AD193*$E193*$F193*$G193*$L193*$AE$12)</f>
        <v>0</v>
      </c>
      <c r="AF193" s="182"/>
      <c r="AG193" s="182"/>
      <c r="AH193" s="182"/>
      <c r="AI193" s="182">
        <f t="shared" ref="AI193:AI202" si="792">(AH193*$E193*$F193*$G193*$L193*$AI$12)</f>
        <v>0</v>
      </c>
      <c r="AJ193" s="182"/>
      <c r="AK193" s="182"/>
      <c r="AL193" s="182"/>
      <c r="AM193" s="182"/>
      <c r="AN193" s="205"/>
      <c r="AO193" s="182">
        <f t="shared" ref="AO193:AO202" si="793">(AN193*$E193*$F193*$G193*$L193*$AO$12)</f>
        <v>0</v>
      </c>
      <c r="AP193" s="182"/>
      <c r="AQ193" s="183">
        <f t="shared" si="749"/>
        <v>0</v>
      </c>
      <c r="AR193" s="182"/>
      <c r="AS193" s="182">
        <f t="shared" ref="AS193:AS202" si="794">(AR193*$E193*$F193*$G193*$L193*$AS$12)/12*10+(AR193*$E193*$F193*$G193*$L193*$AS$13)/12*1+(AR193*$E193*$F193*$G193*$L193*$AS$14)/12*1</f>
        <v>0</v>
      </c>
      <c r="AT193" s="182"/>
      <c r="AU193" s="182">
        <f t="shared" si="751"/>
        <v>0</v>
      </c>
      <c r="AV193" s="188">
        <v>11</v>
      </c>
      <c r="AW193" s="182">
        <v>1968579.03</v>
      </c>
      <c r="AX193" s="182"/>
      <c r="AY193" s="187">
        <f t="shared" ref="AY193:AY202" si="795">(AX193*$E193*$F193*$G193*$M193*$AY$12)</f>
        <v>0</v>
      </c>
      <c r="AZ193" s="182"/>
      <c r="BA193" s="182">
        <f t="shared" ref="BA193:BA202" si="796">(AZ193*$E193*$F193*$G193*$L193*$BA$12)</f>
        <v>0</v>
      </c>
      <c r="BB193" s="182"/>
      <c r="BC193" s="182">
        <f t="shared" ref="BC193:BC202" si="797">(BB193*$E193*$F193*$G193*$L193*$BC$12)</f>
        <v>0</v>
      </c>
      <c r="BD193" s="182"/>
      <c r="BE193" s="182">
        <f t="shared" si="755"/>
        <v>0</v>
      </c>
      <c r="BF193" s="182"/>
      <c r="BG193" s="182">
        <f t="shared" si="756"/>
        <v>0</v>
      </c>
      <c r="BH193" s="182"/>
      <c r="BI193" s="183">
        <f t="shared" si="757"/>
        <v>0</v>
      </c>
      <c r="BJ193" s="182"/>
      <c r="BK193" s="183">
        <f t="shared" si="758"/>
        <v>0</v>
      </c>
      <c r="BL193" s="182"/>
      <c r="BM193" s="182">
        <f t="shared" si="759"/>
        <v>0</v>
      </c>
      <c r="BN193" s="182"/>
      <c r="BO193" s="182">
        <f t="shared" si="760"/>
        <v>0</v>
      </c>
      <c r="BP193" s="182"/>
      <c r="BQ193" s="182">
        <f t="shared" si="761"/>
        <v>0</v>
      </c>
      <c r="BR193" s="182"/>
      <c r="BS193" s="183">
        <f t="shared" si="762"/>
        <v>0</v>
      </c>
      <c r="BT193" s="182"/>
      <c r="BU193" s="182">
        <f t="shared" si="763"/>
        <v>0</v>
      </c>
      <c r="BV193" s="182"/>
      <c r="BW193" s="182">
        <f t="shared" si="764"/>
        <v>0</v>
      </c>
      <c r="BX193" s="182"/>
      <c r="BY193" s="183">
        <f t="shared" si="765"/>
        <v>0</v>
      </c>
      <c r="BZ193" s="182"/>
      <c r="CA193" s="187">
        <f t="shared" si="766"/>
        <v>0</v>
      </c>
      <c r="CB193" s="182"/>
      <c r="CC193" s="182">
        <f t="shared" si="767"/>
        <v>0</v>
      </c>
      <c r="CD193" s="182"/>
      <c r="CE193" s="182">
        <f t="shared" si="768"/>
        <v>0</v>
      </c>
      <c r="CF193" s="182"/>
      <c r="CG193" s="182">
        <f t="shared" si="769"/>
        <v>0</v>
      </c>
      <c r="CH193" s="182"/>
      <c r="CI193" s="182">
        <f t="shared" si="770"/>
        <v>0</v>
      </c>
      <c r="CJ193" s="182"/>
      <c r="CK193" s="182"/>
      <c r="CL193" s="182"/>
      <c r="CM193" s="183">
        <f t="shared" si="771"/>
        <v>0</v>
      </c>
      <c r="CN193" s="182"/>
      <c r="CO193" s="183">
        <f t="shared" si="772"/>
        <v>0</v>
      </c>
      <c r="CP193" s="182"/>
      <c r="CQ193" s="182">
        <f t="shared" si="773"/>
        <v>0</v>
      </c>
      <c r="CR193" s="182"/>
      <c r="CS193" s="182">
        <f t="shared" si="774"/>
        <v>0</v>
      </c>
      <c r="CT193" s="182"/>
      <c r="CU193" s="182">
        <f t="shared" si="775"/>
        <v>0</v>
      </c>
      <c r="CV193" s="182"/>
      <c r="CW193" s="182">
        <v>0</v>
      </c>
      <c r="CX193" s="182"/>
      <c r="CY193" s="182">
        <f t="shared" si="776"/>
        <v>0</v>
      </c>
      <c r="CZ193" s="182"/>
      <c r="DA193" s="182">
        <v>0</v>
      </c>
      <c r="DB193" s="188"/>
      <c r="DC193" s="182">
        <f t="shared" si="777"/>
        <v>0</v>
      </c>
      <c r="DD193" s="182"/>
      <c r="DE193" s="187"/>
      <c r="DF193" s="182"/>
      <c r="DG193" s="182">
        <f t="shared" si="779"/>
        <v>0</v>
      </c>
      <c r="DH193" s="189"/>
      <c r="DI193" s="182">
        <f t="shared" si="780"/>
        <v>0</v>
      </c>
      <c r="DJ193" s="182"/>
      <c r="DK193" s="182">
        <f t="shared" si="781"/>
        <v>0</v>
      </c>
      <c r="DL193" s="182"/>
      <c r="DM193" s="182">
        <f t="shared" si="782"/>
        <v>0</v>
      </c>
      <c r="DN193" s="182"/>
      <c r="DO193" s="190">
        <f t="shared" si="783"/>
        <v>0</v>
      </c>
      <c r="DP193" s="187"/>
      <c r="DQ193" s="187"/>
      <c r="DR193" s="183">
        <f t="shared" si="784"/>
        <v>15</v>
      </c>
      <c r="DS193" s="183">
        <f t="shared" si="784"/>
        <v>2499072.7232400002</v>
      </c>
      <c r="DT193" s="182">
        <v>11</v>
      </c>
      <c r="DU193" s="182">
        <v>1783225.7881199997</v>
      </c>
      <c r="DV193" s="167">
        <f t="shared" si="626"/>
        <v>4</v>
      </c>
      <c r="DW193" s="167">
        <f t="shared" si="626"/>
        <v>715846.9351200005</v>
      </c>
    </row>
    <row r="194" spans="1:127" ht="45" customHeight="1" x14ac:dyDescent="0.25">
      <c r="A194" s="154"/>
      <c r="B194" s="176">
        <v>160</v>
      </c>
      <c r="C194" s="177" t="s">
        <v>473</v>
      </c>
      <c r="D194" s="210" t="s">
        <v>474</v>
      </c>
      <c r="E194" s="158">
        <v>25969</v>
      </c>
      <c r="F194" s="179">
        <v>1.24</v>
      </c>
      <c r="G194" s="168">
        <v>1</v>
      </c>
      <c r="H194" s="169"/>
      <c r="I194" s="169"/>
      <c r="J194" s="169"/>
      <c r="K194" s="106"/>
      <c r="L194" s="180">
        <v>1.4</v>
      </c>
      <c r="M194" s="180">
        <v>1.68</v>
      </c>
      <c r="N194" s="180">
        <v>2.23</v>
      </c>
      <c r="O194" s="181">
        <v>2.57</v>
      </c>
      <c r="P194" s="182">
        <v>5</v>
      </c>
      <c r="Q194" s="182">
        <f t="shared" si="788"/>
        <v>247952.01199999999</v>
      </c>
      <c r="R194" s="182"/>
      <c r="S194" s="182">
        <f t="shared" si="742"/>
        <v>0</v>
      </c>
      <c r="T194" s="182"/>
      <c r="U194" s="182">
        <f t="shared" si="789"/>
        <v>0</v>
      </c>
      <c r="V194" s="182"/>
      <c r="W194" s="183">
        <f t="shared" si="790"/>
        <v>0</v>
      </c>
      <c r="X194" s="183">
        <v>53</v>
      </c>
      <c r="Y194" s="183">
        <v>3345098.0527999997</v>
      </c>
      <c r="Z194" s="183">
        <v>0</v>
      </c>
      <c r="AA194" s="183">
        <v>0</v>
      </c>
      <c r="AB194" s="182">
        <f t="shared" si="745"/>
        <v>53</v>
      </c>
      <c r="AC194" s="182">
        <f t="shared" si="745"/>
        <v>3345098.0527999997</v>
      </c>
      <c r="AD194" s="182"/>
      <c r="AE194" s="182">
        <f t="shared" si="791"/>
        <v>0</v>
      </c>
      <c r="AF194" s="182"/>
      <c r="AG194" s="182"/>
      <c r="AH194" s="182"/>
      <c r="AI194" s="182">
        <f t="shared" si="792"/>
        <v>0</v>
      </c>
      <c r="AJ194" s="182"/>
      <c r="AK194" s="182"/>
      <c r="AL194" s="182"/>
      <c r="AM194" s="182"/>
      <c r="AN194" s="205"/>
      <c r="AO194" s="182">
        <f t="shared" si="793"/>
        <v>0</v>
      </c>
      <c r="AP194" s="182"/>
      <c r="AQ194" s="183">
        <f t="shared" si="749"/>
        <v>0</v>
      </c>
      <c r="AR194" s="182"/>
      <c r="AS194" s="182">
        <f t="shared" si="794"/>
        <v>0</v>
      </c>
      <c r="AT194" s="182"/>
      <c r="AU194" s="182">
        <f t="shared" si="751"/>
        <v>0</v>
      </c>
      <c r="AV194" s="188">
        <v>0</v>
      </c>
      <c r="AW194" s="182">
        <v>0</v>
      </c>
      <c r="AX194" s="182"/>
      <c r="AY194" s="187">
        <f t="shared" si="795"/>
        <v>0</v>
      </c>
      <c r="AZ194" s="182"/>
      <c r="BA194" s="182">
        <f t="shared" si="796"/>
        <v>0</v>
      </c>
      <c r="BB194" s="182"/>
      <c r="BC194" s="182">
        <f t="shared" si="797"/>
        <v>0</v>
      </c>
      <c r="BD194" s="182"/>
      <c r="BE194" s="182">
        <f t="shared" si="755"/>
        <v>0</v>
      </c>
      <c r="BF194" s="182"/>
      <c r="BG194" s="182">
        <f t="shared" si="756"/>
        <v>0</v>
      </c>
      <c r="BH194" s="182"/>
      <c r="BI194" s="183">
        <f t="shared" si="757"/>
        <v>0</v>
      </c>
      <c r="BJ194" s="182"/>
      <c r="BK194" s="183">
        <f t="shared" si="758"/>
        <v>0</v>
      </c>
      <c r="BL194" s="182"/>
      <c r="BM194" s="182">
        <f t="shared" si="759"/>
        <v>0</v>
      </c>
      <c r="BN194" s="182"/>
      <c r="BO194" s="182">
        <f t="shared" si="760"/>
        <v>0</v>
      </c>
      <c r="BP194" s="182"/>
      <c r="BQ194" s="182">
        <f t="shared" si="761"/>
        <v>0</v>
      </c>
      <c r="BR194" s="182"/>
      <c r="BS194" s="183">
        <f t="shared" si="762"/>
        <v>0</v>
      </c>
      <c r="BT194" s="182"/>
      <c r="BU194" s="182">
        <f t="shared" si="763"/>
        <v>0</v>
      </c>
      <c r="BV194" s="182"/>
      <c r="BW194" s="182">
        <f t="shared" si="764"/>
        <v>0</v>
      </c>
      <c r="BX194" s="182"/>
      <c r="BY194" s="183">
        <f t="shared" si="765"/>
        <v>0</v>
      </c>
      <c r="BZ194" s="182"/>
      <c r="CA194" s="187">
        <f t="shared" si="766"/>
        <v>0</v>
      </c>
      <c r="CB194" s="182"/>
      <c r="CC194" s="182">
        <f t="shared" si="767"/>
        <v>0</v>
      </c>
      <c r="CD194" s="182"/>
      <c r="CE194" s="182">
        <f t="shared" si="768"/>
        <v>0</v>
      </c>
      <c r="CF194" s="182"/>
      <c r="CG194" s="182">
        <f t="shared" si="769"/>
        <v>0</v>
      </c>
      <c r="CH194" s="182"/>
      <c r="CI194" s="182">
        <f t="shared" si="770"/>
        <v>0</v>
      </c>
      <c r="CJ194" s="182"/>
      <c r="CK194" s="182"/>
      <c r="CL194" s="182"/>
      <c r="CM194" s="183">
        <f t="shared" si="771"/>
        <v>0</v>
      </c>
      <c r="CN194" s="182"/>
      <c r="CO194" s="183">
        <f t="shared" si="772"/>
        <v>0</v>
      </c>
      <c r="CP194" s="182"/>
      <c r="CQ194" s="182">
        <f t="shared" si="773"/>
        <v>0</v>
      </c>
      <c r="CR194" s="182"/>
      <c r="CS194" s="182">
        <f t="shared" si="774"/>
        <v>0</v>
      </c>
      <c r="CT194" s="182"/>
      <c r="CU194" s="182">
        <f t="shared" si="775"/>
        <v>0</v>
      </c>
      <c r="CV194" s="182"/>
      <c r="CW194" s="182">
        <v>0</v>
      </c>
      <c r="CX194" s="182"/>
      <c r="CY194" s="182">
        <f t="shared" si="776"/>
        <v>0</v>
      </c>
      <c r="CZ194" s="182"/>
      <c r="DA194" s="182">
        <v>0</v>
      </c>
      <c r="DB194" s="188"/>
      <c r="DC194" s="182">
        <f t="shared" si="777"/>
        <v>0</v>
      </c>
      <c r="DD194" s="182"/>
      <c r="DE194" s="187"/>
      <c r="DF194" s="182"/>
      <c r="DG194" s="182">
        <f t="shared" si="779"/>
        <v>0</v>
      </c>
      <c r="DH194" s="189"/>
      <c r="DI194" s="182">
        <f t="shared" si="780"/>
        <v>0</v>
      </c>
      <c r="DJ194" s="182"/>
      <c r="DK194" s="182">
        <f t="shared" si="781"/>
        <v>0</v>
      </c>
      <c r="DL194" s="182"/>
      <c r="DM194" s="182">
        <f t="shared" si="782"/>
        <v>0</v>
      </c>
      <c r="DN194" s="182"/>
      <c r="DO194" s="190">
        <f t="shared" si="783"/>
        <v>0</v>
      </c>
      <c r="DP194" s="187"/>
      <c r="DQ194" s="187"/>
      <c r="DR194" s="183">
        <f t="shared" si="784"/>
        <v>58</v>
      </c>
      <c r="DS194" s="183">
        <f t="shared" si="784"/>
        <v>3593050.0647999998</v>
      </c>
      <c r="DT194" s="182">
        <v>58</v>
      </c>
      <c r="DU194" s="182">
        <v>3593050.0647999998</v>
      </c>
      <c r="DV194" s="167">
        <f t="shared" si="626"/>
        <v>0</v>
      </c>
      <c r="DW194" s="167">
        <f t="shared" si="626"/>
        <v>0</v>
      </c>
    </row>
    <row r="195" spans="1:127" ht="15.75" customHeight="1" x14ac:dyDescent="0.25">
      <c r="A195" s="154"/>
      <c r="B195" s="176">
        <v>161</v>
      </c>
      <c r="C195" s="208" t="s">
        <v>475</v>
      </c>
      <c r="D195" s="210" t="s">
        <v>476</v>
      </c>
      <c r="E195" s="158">
        <v>25969</v>
      </c>
      <c r="F195" s="179">
        <v>0.79</v>
      </c>
      <c r="G195" s="168">
        <v>1</v>
      </c>
      <c r="H195" s="169"/>
      <c r="I195" s="169"/>
      <c r="J195" s="169"/>
      <c r="K195" s="106"/>
      <c r="L195" s="180">
        <v>1.4</v>
      </c>
      <c r="M195" s="180">
        <v>1.68</v>
      </c>
      <c r="N195" s="180">
        <v>2.23</v>
      </c>
      <c r="O195" s="181">
        <v>2.57</v>
      </c>
      <c r="P195" s="182">
        <v>0</v>
      </c>
      <c r="Q195" s="182">
        <f t="shared" si="788"/>
        <v>0</v>
      </c>
      <c r="R195" s="182"/>
      <c r="S195" s="182">
        <f t="shared" si="742"/>
        <v>0</v>
      </c>
      <c r="T195" s="182"/>
      <c r="U195" s="182">
        <f t="shared" si="789"/>
        <v>0</v>
      </c>
      <c r="V195" s="182"/>
      <c r="W195" s="183">
        <f t="shared" si="790"/>
        <v>0</v>
      </c>
      <c r="X195" s="183"/>
      <c r="Y195" s="183">
        <v>0</v>
      </c>
      <c r="Z195" s="183">
        <v>0</v>
      </c>
      <c r="AA195" s="183">
        <v>0</v>
      </c>
      <c r="AB195" s="182">
        <f t="shared" si="745"/>
        <v>0</v>
      </c>
      <c r="AC195" s="182">
        <f t="shared" si="745"/>
        <v>0</v>
      </c>
      <c r="AD195" s="182"/>
      <c r="AE195" s="182">
        <f t="shared" si="791"/>
        <v>0</v>
      </c>
      <c r="AF195" s="182"/>
      <c r="AG195" s="182"/>
      <c r="AH195" s="182"/>
      <c r="AI195" s="182">
        <f t="shared" si="792"/>
        <v>0</v>
      </c>
      <c r="AJ195" s="182"/>
      <c r="AK195" s="182"/>
      <c r="AL195" s="182"/>
      <c r="AM195" s="182"/>
      <c r="AN195" s="205"/>
      <c r="AO195" s="182">
        <f t="shared" si="793"/>
        <v>0</v>
      </c>
      <c r="AP195" s="182"/>
      <c r="AQ195" s="183">
        <f t="shared" si="749"/>
        <v>0</v>
      </c>
      <c r="AR195" s="182"/>
      <c r="AS195" s="182">
        <f t="shared" si="794"/>
        <v>0</v>
      </c>
      <c r="AT195" s="182"/>
      <c r="AU195" s="182">
        <f t="shared" si="751"/>
        <v>0</v>
      </c>
      <c r="AV195" s="188">
        <v>0</v>
      </c>
      <c r="AW195" s="182">
        <v>0</v>
      </c>
      <c r="AX195" s="182"/>
      <c r="AY195" s="187">
        <f t="shared" si="795"/>
        <v>0</v>
      </c>
      <c r="AZ195" s="182"/>
      <c r="BA195" s="182">
        <f t="shared" si="796"/>
        <v>0</v>
      </c>
      <c r="BB195" s="182">
        <v>0</v>
      </c>
      <c r="BC195" s="182">
        <f t="shared" si="797"/>
        <v>0</v>
      </c>
      <c r="BD195" s="182"/>
      <c r="BE195" s="182">
        <f t="shared" si="755"/>
        <v>0</v>
      </c>
      <c r="BF195" s="182"/>
      <c r="BG195" s="182">
        <f t="shared" si="756"/>
        <v>0</v>
      </c>
      <c r="BH195" s="182"/>
      <c r="BI195" s="183">
        <f t="shared" si="757"/>
        <v>0</v>
      </c>
      <c r="BJ195" s="182"/>
      <c r="BK195" s="183">
        <f t="shared" si="758"/>
        <v>0</v>
      </c>
      <c r="BL195" s="182"/>
      <c r="BM195" s="182">
        <f t="shared" si="759"/>
        <v>0</v>
      </c>
      <c r="BN195" s="182"/>
      <c r="BO195" s="182">
        <f t="shared" si="760"/>
        <v>0</v>
      </c>
      <c r="BP195" s="182"/>
      <c r="BQ195" s="182">
        <f t="shared" si="761"/>
        <v>0</v>
      </c>
      <c r="BR195" s="182"/>
      <c r="BS195" s="183">
        <f t="shared" si="762"/>
        <v>0</v>
      </c>
      <c r="BT195" s="182"/>
      <c r="BU195" s="182">
        <f t="shared" si="763"/>
        <v>0</v>
      </c>
      <c r="BV195" s="182"/>
      <c r="BW195" s="182">
        <f t="shared" si="764"/>
        <v>0</v>
      </c>
      <c r="BX195" s="182"/>
      <c r="BY195" s="183">
        <f t="shared" si="765"/>
        <v>0</v>
      </c>
      <c r="BZ195" s="182"/>
      <c r="CA195" s="187">
        <f t="shared" si="766"/>
        <v>0</v>
      </c>
      <c r="CB195" s="182"/>
      <c r="CC195" s="182">
        <f t="shared" si="767"/>
        <v>0</v>
      </c>
      <c r="CD195" s="182"/>
      <c r="CE195" s="182">
        <f t="shared" si="768"/>
        <v>0</v>
      </c>
      <c r="CF195" s="182"/>
      <c r="CG195" s="182">
        <f t="shared" si="769"/>
        <v>0</v>
      </c>
      <c r="CH195" s="182"/>
      <c r="CI195" s="182">
        <f t="shared" si="770"/>
        <v>0</v>
      </c>
      <c r="CJ195" s="182"/>
      <c r="CK195" s="182"/>
      <c r="CL195" s="182"/>
      <c r="CM195" s="183">
        <f t="shared" si="771"/>
        <v>0</v>
      </c>
      <c r="CN195" s="182"/>
      <c r="CO195" s="183">
        <f t="shared" si="772"/>
        <v>0</v>
      </c>
      <c r="CP195" s="182"/>
      <c r="CQ195" s="182">
        <f t="shared" si="773"/>
        <v>0</v>
      </c>
      <c r="CR195" s="182"/>
      <c r="CS195" s="182">
        <f t="shared" si="774"/>
        <v>0</v>
      </c>
      <c r="CT195" s="182"/>
      <c r="CU195" s="182">
        <f t="shared" si="775"/>
        <v>0</v>
      </c>
      <c r="CV195" s="182"/>
      <c r="CW195" s="182">
        <v>0</v>
      </c>
      <c r="CX195" s="182"/>
      <c r="CY195" s="182">
        <f t="shared" si="776"/>
        <v>0</v>
      </c>
      <c r="CZ195" s="182"/>
      <c r="DA195" s="182">
        <v>0</v>
      </c>
      <c r="DB195" s="188"/>
      <c r="DC195" s="182">
        <f t="shared" si="777"/>
        <v>0</v>
      </c>
      <c r="DD195" s="182"/>
      <c r="DE195" s="187">
        <f t="shared" ref="DE195:DE202" si="798">(DD195*$E195*$F195*$G195*$M195*DE$12)</f>
        <v>0</v>
      </c>
      <c r="DF195" s="182"/>
      <c r="DG195" s="182">
        <f t="shared" si="779"/>
        <v>0</v>
      </c>
      <c r="DH195" s="189"/>
      <c r="DI195" s="182">
        <f t="shared" si="780"/>
        <v>0</v>
      </c>
      <c r="DJ195" s="182"/>
      <c r="DK195" s="182">
        <f t="shared" si="781"/>
        <v>0</v>
      </c>
      <c r="DL195" s="182"/>
      <c r="DM195" s="182">
        <f t="shared" si="782"/>
        <v>0</v>
      </c>
      <c r="DN195" s="182"/>
      <c r="DO195" s="190">
        <f t="shared" si="783"/>
        <v>0</v>
      </c>
      <c r="DP195" s="187"/>
      <c r="DQ195" s="187"/>
      <c r="DR195" s="183">
        <f t="shared" si="784"/>
        <v>0</v>
      </c>
      <c r="DS195" s="183">
        <f t="shared" si="784"/>
        <v>0</v>
      </c>
      <c r="DT195" s="182">
        <v>0</v>
      </c>
      <c r="DU195" s="182">
        <v>0</v>
      </c>
      <c r="DV195" s="167">
        <f t="shared" si="626"/>
        <v>0</v>
      </c>
      <c r="DW195" s="167">
        <f t="shared" si="626"/>
        <v>0</v>
      </c>
    </row>
    <row r="196" spans="1:127" ht="15.75" customHeight="1" x14ac:dyDescent="0.25">
      <c r="A196" s="154"/>
      <c r="B196" s="176">
        <v>162</v>
      </c>
      <c r="C196" s="208" t="s">
        <v>477</v>
      </c>
      <c r="D196" s="210" t="s">
        <v>478</v>
      </c>
      <c r="E196" s="158">
        <v>25969</v>
      </c>
      <c r="F196" s="179">
        <v>1.1399999999999999</v>
      </c>
      <c r="G196" s="168">
        <v>1</v>
      </c>
      <c r="H196" s="169"/>
      <c r="I196" s="169"/>
      <c r="J196" s="169"/>
      <c r="K196" s="106"/>
      <c r="L196" s="180">
        <v>1.4</v>
      </c>
      <c r="M196" s="180">
        <v>1.68</v>
      </c>
      <c r="N196" s="180">
        <v>2.23</v>
      </c>
      <c r="O196" s="181">
        <v>2.57</v>
      </c>
      <c r="P196" s="182">
        <v>0</v>
      </c>
      <c r="Q196" s="182">
        <f t="shared" si="788"/>
        <v>0</v>
      </c>
      <c r="R196" s="182"/>
      <c r="S196" s="182">
        <f t="shared" si="742"/>
        <v>0</v>
      </c>
      <c r="T196" s="182"/>
      <c r="U196" s="182">
        <f t="shared" si="789"/>
        <v>0</v>
      </c>
      <c r="V196" s="182"/>
      <c r="W196" s="183">
        <f t="shared" si="790"/>
        <v>0</v>
      </c>
      <c r="X196" s="183">
        <v>14</v>
      </c>
      <c r="Y196" s="183">
        <v>812351.87039999978</v>
      </c>
      <c r="Z196" s="183">
        <v>0</v>
      </c>
      <c r="AA196" s="183">
        <v>0</v>
      </c>
      <c r="AB196" s="182">
        <f t="shared" si="745"/>
        <v>14</v>
      </c>
      <c r="AC196" s="182">
        <f t="shared" si="745"/>
        <v>812351.87039999978</v>
      </c>
      <c r="AD196" s="182"/>
      <c r="AE196" s="182">
        <f t="shared" si="791"/>
        <v>0</v>
      </c>
      <c r="AF196" s="182"/>
      <c r="AG196" s="182"/>
      <c r="AH196" s="182"/>
      <c r="AI196" s="182">
        <f t="shared" si="792"/>
        <v>0</v>
      </c>
      <c r="AJ196" s="182"/>
      <c r="AK196" s="182"/>
      <c r="AL196" s="182"/>
      <c r="AM196" s="182"/>
      <c r="AN196" s="205"/>
      <c r="AO196" s="182">
        <f t="shared" si="793"/>
        <v>0</v>
      </c>
      <c r="AP196" s="182"/>
      <c r="AQ196" s="183">
        <f t="shared" si="749"/>
        <v>0</v>
      </c>
      <c r="AR196" s="182"/>
      <c r="AS196" s="182">
        <f t="shared" si="794"/>
        <v>0</v>
      </c>
      <c r="AT196" s="182"/>
      <c r="AU196" s="182">
        <f t="shared" si="751"/>
        <v>0</v>
      </c>
      <c r="AV196" s="188">
        <v>0</v>
      </c>
      <c r="AW196" s="182">
        <v>0</v>
      </c>
      <c r="AX196" s="182"/>
      <c r="AY196" s="187">
        <f t="shared" si="795"/>
        <v>0</v>
      </c>
      <c r="AZ196" s="182"/>
      <c r="BA196" s="182">
        <f t="shared" si="796"/>
        <v>0</v>
      </c>
      <c r="BB196" s="182">
        <v>0</v>
      </c>
      <c r="BC196" s="182">
        <f t="shared" si="797"/>
        <v>0</v>
      </c>
      <c r="BD196" s="182"/>
      <c r="BE196" s="182">
        <f t="shared" si="755"/>
        <v>0</v>
      </c>
      <c r="BF196" s="182"/>
      <c r="BG196" s="182">
        <f t="shared" si="756"/>
        <v>0</v>
      </c>
      <c r="BH196" s="182"/>
      <c r="BI196" s="183">
        <f t="shared" si="757"/>
        <v>0</v>
      </c>
      <c r="BJ196" s="182"/>
      <c r="BK196" s="183">
        <f t="shared" si="758"/>
        <v>0</v>
      </c>
      <c r="BL196" s="182"/>
      <c r="BM196" s="182">
        <f t="shared" si="759"/>
        <v>0</v>
      </c>
      <c r="BN196" s="182"/>
      <c r="BO196" s="182">
        <f t="shared" si="760"/>
        <v>0</v>
      </c>
      <c r="BP196" s="182"/>
      <c r="BQ196" s="182">
        <f t="shared" si="761"/>
        <v>0</v>
      </c>
      <c r="BR196" s="182"/>
      <c r="BS196" s="183">
        <f t="shared" si="762"/>
        <v>0</v>
      </c>
      <c r="BT196" s="182"/>
      <c r="BU196" s="182">
        <f t="shared" si="763"/>
        <v>0</v>
      </c>
      <c r="BV196" s="182"/>
      <c r="BW196" s="182">
        <f t="shared" si="764"/>
        <v>0</v>
      </c>
      <c r="BX196" s="182"/>
      <c r="BY196" s="183">
        <f t="shared" si="765"/>
        <v>0</v>
      </c>
      <c r="BZ196" s="182"/>
      <c r="CA196" s="187">
        <f t="shared" si="766"/>
        <v>0</v>
      </c>
      <c r="CB196" s="182"/>
      <c r="CC196" s="182">
        <f t="shared" si="767"/>
        <v>0</v>
      </c>
      <c r="CD196" s="182"/>
      <c r="CE196" s="182">
        <f t="shared" si="768"/>
        <v>0</v>
      </c>
      <c r="CF196" s="182"/>
      <c r="CG196" s="182">
        <f t="shared" si="769"/>
        <v>0</v>
      </c>
      <c r="CH196" s="182"/>
      <c r="CI196" s="182">
        <f t="shared" si="770"/>
        <v>0</v>
      </c>
      <c r="CJ196" s="182"/>
      <c r="CK196" s="182"/>
      <c r="CL196" s="182"/>
      <c r="CM196" s="183">
        <f t="shared" si="771"/>
        <v>0</v>
      </c>
      <c r="CN196" s="182"/>
      <c r="CO196" s="183">
        <f t="shared" si="772"/>
        <v>0</v>
      </c>
      <c r="CP196" s="182"/>
      <c r="CQ196" s="182">
        <f t="shared" si="773"/>
        <v>0</v>
      </c>
      <c r="CR196" s="182"/>
      <c r="CS196" s="182">
        <f t="shared" si="774"/>
        <v>0</v>
      </c>
      <c r="CT196" s="182"/>
      <c r="CU196" s="182">
        <f t="shared" si="775"/>
        <v>0</v>
      </c>
      <c r="CV196" s="182"/>
      <c r="CW196" s="182">
        <v>0</v>
      </c>
      <c r="CX196" s="182"/>
      <c r="CY196" s="182">
        <f t="shared" si="776"/>
        <v>0</v>
      </c>
      <c r="CZ196" s="182"/>
      <c r="DA196" s="182">
        <v>0</v>
      </c>
      <c r="DB196" s="188"/>
      <c r="DC196" s="182">
        <f t="shared" si="777"/>
        <v>0</v>
      </c>
      <c r="DD196" s="182"/>
      <c r="DE196" s="187">
        <f t="shared" si="798"/>
        <v>0</v>
      </c>
      <c r="DF196" s="182"/>
      <c r="DG196" s="182">
        <f t="shared" si="779"/>
        <v>0</v>
      </c>
      <c r="DH196" s="189"/>
      <c r="DI196" s="182">
        <f t="shared" si="780"/>
        <v>0</v>
      </c>
      <c r="DJ196" s="182"/>
      <c r="DK196" s="182">
        <f t="shared" si="781"/>
        <v>0</v>
      </c>
      <c r="DL196" s="182"/>
      <c r="DM196" s="182">
        <f t="shared" si="782"/>
        <v>0</v>
      </c>
      <c r="DN196" s="182"/>
      <c r="DO196" s="190">
        <f t="shared" si="783"/>
        <v>0</v>
      </c>
      <c r="DP196" s="187"/>
      <c r="DQ196" s="187"/>
      <c r="DR196" s="183">
        <f t="shared" si="784"/>
        <v>14</v>
      </c>
      <c r="DS196" s="183">
        <f t="shared" si="784"/>
        <v>812351.87039999978</v>
      </c>
      <c r="DT196" s="182">
        <v>14</v>
      </c>
      <c r="DU196" s="182">
        <v>812351.87039999978</v>
      </c>
      <c r="DV196" s="167">
        <f t="shared" si="626"/>
        <v>0</v>
      </c>
      <c r="DW196" s="167">
        <f t="shared" si="626"/>
        <v>0</v>
      </c>
    </row>
    <row r="197" spans="1:127" ht="15.75" customHeight="1" x14ac:dyDescent="0.25">
      <c r="A197" s="154"/>
      <c r="B197" s="176">
        <v>163</v>
      </c>
      <c r="C197" s="208" t="s">
        <v>479</v>
      </c>
      <c r="D197" s="210" t="s">
        <v>480</v>
      </c>
      <c r="E197" s="158">
        <v>25969</v>
      </c>
      <c r="F197" s="179">
        <v>2.46</v>
      </c>
      <c r="G197" s="168">
        <v>1</v>
      </c>
      <c r="H197" s="169"/>
      <c r="I197" s="169"/>
      <c r="J197" s="169"/>
      <c r="K197" s="106"/>
      <c r="L197" s="180">
        <v>1.4</v>
      </c>
      <c r="M197" s="180">
        <v>1.68</v>
      </c>
      <c r="N197" s="180">
        <v>2.23</v>
      </c>
      <c r="O197" s="181">
        <v>2.57</v>
      </c>
      <c r="P197" s="182">
        <v>0</v>
      </c>
      <c r="Q197" s="182">
        <f t="shared" si="788"/>
        <v>0</v>
      </c>
      <c r="R197" s="182"/>
      <c r="S197" s="182">
        <f t="shared" si="742"/>
        <v>0</v>
      </c>
      <c r="T197" s="182"/>
      <c r="U197" s="182">
        <f t="shared" si="789"/>
        <v>0</v>
      </c>
      <c r="V197" s="182"/>
      <c r="W197" s="183">
        <f t="shared" si="790"/>
        <v>0</v>
      </c>
      <c r="X197" s="183">
        <v>16</v>
      </c>
      <c r="Y197" s="183">
        <v>2003394.0863999997</v>
      </c>
      <c r="Z197" s="183">
        <v>0</v>
      </c>
      <c r="AA197" s="183">
        <v>0</v>
      </c>
      <c r="AB197" s="182">
        <f t="shared" si="745"/>
        <v>16</v>
      </c>
      <c r="AC197" s="182">
        <f t="shared" si="745"/>
        <v>2003394.0863999997</v>
      </c>
      <c r="AD197" s="182"/>
      <c r="AE197" s="182">
        <f t="shared" si="791"/>
        <v>0</v>
      </c>
      <c r="AF197" s="182"/>
      <c r="AG197" s="182"/>
      <c r="AH197" s="182"/>
      <c r="AI197" s="182">
        <f t="shared" si="792"/>
        <v>0</v>
      </c>
      <c r="AJ197" s="182"/>
      <c r="AK197" s="182"/>
      <c r="AL197" s="182"/>
      <c r="AM197" s="182"/>
      <c r="AN197" s="205"/>
      <c r="AO197" s="182">
        <f t="shared" si="793"/>
        <v>0</v>
      </c>
      <c r="AP197" s="182"/>
      <c r="AQ197" s="183">
        <f t="shared" si="749"/>
        <v>0</v>
      </c>
      <c r="AR197" s="182"/>
      <c r="AS197" s="182">
        <f t="shared" si="794"/>
        <v>0</v>
      </c>
      <c r="AT197" s="182"/>
      <c r="AU197" s="182">
        <f t="shared" si="751"/>
        <v>0</v>
      </c>
      <c r="AV197" s="188">
        <v>0</v>
      </c>
      <c r="AW197" s="182">
        <v>0</v>
      </c>
      <c r="AX197" s="182"/>
      <c r="AY197" s="187">
        <f t="shared" si="795"/>
        <v>0</v>
      </c>
      <c r="AZ197" s="182"/>
      <c r="BA197" s="182">
        <f t="shared" si="796"/>
        <v>0</v>
      </c>
      <c r="BB197" s="182">
        <v>0</v>
      </c>
      <c r="BC197" s="182">
        <f t="shared" si="797"/>
        <v>0</v>
      </c>
      <c r="BD197" s="182"/>
      <c r="BE197" s="182">
        <f t="shared" si="755"/>
        <v>0</v>
      </c>
      <c r="BF197" s="182"/>
      <c r="BG197" s="182">
        <f t="shared" si="756"/>
        <v>0</v>
      </c>
      <c r="BH197" s="182"/>
      <c r="BI197" s="183">
        <f t="shared" si="757"/>
        <v>0</v>
      </c>
      <c r="BJ197" s="182"/>
      <c r="BK197" s="183">
        <f t="shared" si="758"/>
        <v>0</v>
      </c>
      <c r="BL197" s="182"/>
      <c r="BM197" s="182">
        <f t="shared" si="759"/>
        <v>0</v>
      </c>
      <c r="BN197" s="182"/>
      <c r="BO197" s="182">
        <f t="shared" si="760"/>
        <v>0</v>
      </c>
      <c r="BP197" s="182"/>
      <c r="BQ197" s="182">
        <f t="shared" si="761"/>
        <v>0</v>
      </c>
      <c r="BR197" s="182"/>
      <c r="BS197" s="183">
        <f t="shared" si="762"/>
        <v>0</v>
      </c>
      <c r="BT197" s="182"/>
      <c r="BU197" s="182">
        <f t="shared" si="763"/>
        <v>0</v>
      </c>
      <c r="BV197" s="182"/>
      <c r="BW197" s="182">
        <f t="shared" si="764"/>
        <v>0</v>
      </c>
      <c r="BX197" s="182"/>
      <c r="BY197" s="183">
        <f t="shared" si="765"/>
        <v>0</v>
      </c>
      <c r="BZ197" s="182"/>
      <c r="CA197" s="187">
        <f t="shared" si="766"/>
        <v>0</v>
      </c>
      <c r="CB197" s="182"/>
      <c r="CC197" s="182">
        <f t="shared" si="767"/>
        <v>0</v>
      </c>
      <c r="CD197" s="182"/>
      <c r="CE197" s="182">
        <f t="shared" si="768"/>
        <v>0</v>
      </c>
      <c r="CF197" s="182"/>
      <c r="CG197" s="182">
        <f t="shared" si="769"/>
        <v>0</v>
      </c>
      <c r="CH197" s="182"/>
      <c r="CI197" s="182">
        <f t="shared" si="770"/>
        <v>0</v>
      </c>
      <c r="CJ197" s="182"/>
      <c r="CK197" s="182"/>
      <c r="CL197" s="182"/>
      <c r="CM197" s="183">
        <f t="shared" si="771"/>
        <v>0</v>
      </c>
      <c r="CN197" s="182"/>
      <c r="CO197" s="183">
        <f t="shared" si="772"/>
        <v>0</v>
      </c>
      <c r="CP197" s="182"/>
      <c r="CQ197" s="182">
        <f t="shared" si="773"/>
        <v>0</v>
      </c>
      <c r="CR197" s="182"/>
      <c r="CS197" s="182">
        <f t="shared" si="774"/>
        <v>0</v>
      </c>
      <c r="CT197" s="182"/>
      <c r="CU197" s="182">
        <f t="shared" si="775"/>
        <v>0</v>
      </c>
      <c r="CV197" s="182"/>
      <c r="CW197" s="182">
        <v>0</v>
      </c>
      <c r="CX197" s="182"/>
      <c r="CY197" s="182">
        <f t="shared" si="776"/>
        <v>0</v>
      </c>
      <c r="CZ197" s="182"/>
      <c r="DA197" s="182">
        <v>0</v>
      </c>
      <c r="DB197" s="188"/>
      <c r="DC197" s="182">
        <f t="shared" si="777"/>
        <v>0</v>
      </c>
      <c r="DD197" s="182"/>
      <c r="DE197" s="187">
        <f t="shared" si="798"/>
        <v>0</v>
      </c>
      <c r="DF197" s="182"/>
      <c r="DG197" s="182">
        <f t="shared" si="779"/>
        <v>0</v>
      </c>
      <c r="DH197" s="189"/>
      <c r="DI197" s="182">
        <f t="shared" si="780"/>
        <v>0</v>
      </c>
      <c r="DJ197" s="182"/>
      <c r="DK197" s="182">
        <f t="shared" si="781"/>
        <v>0</v>
      </c>
      <c r="DL197" s="182"/>
      <c r="DM197" s="182">
        <f t="shared" si="782"/>
        <v>0</v>
      </c>
      <c r="DN197" s="182"/>
      <c r="DO197" s="190">
        <f t="shared" si="783"/>
        <v>0</v>
      </c>
      <c r="DP197" s="187"/>
      <c r="DQ197" s="187"/>
      <c r="DR197" s="183">
        <f t="shared" ref="DR197:DS228" si="799">SUM(P197,R197,T197,V197,AB197,AJ197,AD197,AF197,AH197,AL197,AN197,AP197,AV197,AZ197,BB197,CF197,AR197,BF197,BH197,BJ197,CT197,BL197,BN197,AT197,BR197,AX197,CV197,BT197,CX197,BV197,BX197,BZ197,CH197,CB197,CD197,CJ197,CL197,CN197,CP197,CR197,CZ197,DB197,BP197,BD197,DD197,DF197,DH197,DJ197,DL197,DN197,DP197)</f>
        <v>16</v>
      </c>
      <c r="DS197" s="183">
        <f t="shared" si="799"/>
        <v>2003394.0863999997</v>
      </c>
      <c r="DT197" s="182">
        <v>16</v>
      </c>
      <c r="DU197" s="182">
        <v>2003394.0863999997</v>
      </c>
      <c r="DV197" s="167">
        <f t="shared" si="626"/>
        <v>0</v>
      </c>
      <c r="DW197" s="167">
        <f t="shared" si="626"/>
        <v>0</v>
      </c>
    </row>
    <row r="198" spans="1:127" ht="15.75" customHeight="1" x14ac:dyDescent="0.25">
      <c r="A198" s="154"/>
      <c r="B198" s="176">
        <v>164</v>
      </c>
      <c r="C198" s="208" t="s">
        <v>481</v>
      </c>
      <c r="D198" s="178" t="s">
        <v>482</v>
      </c>
      <c r="E198" s="158">
        <v>25969</v>
      </c>
      <c r="F198" s="201">
        <v>2.5099999999999998</v>
      </c>
      <c r="G198" s="168">
        <v>1</v>
      </c>
      <c r="H198" s="169"/>
      <c r="I198" s="169"/>
      <c r="J198" s="169"/>
      <c r="K198" s="106"/>
      <c r="L198" s="255">
        <v>1.4</v>
      </c>
      <c r="M198" s="255">
        <v>1.68</v>
      </c>
      <c r="N198" s="255">
        <v>2.23</v>
      </c>
      <c r="O198" s="256">
        <v>2.57</v>
      </c>
      <c r="P198" s="182">
        <v>0</v>
      </c>
      <c r="Q198" s="182">
        <f t="shared" si="788"/>
        <v>0</v>
      </c>
      <c r="R198" s="182"/>
      <c r="S198" s="182">
        <f t="shared" si="742"/>
        <v>0</v>
      </c>
      <c r="T198" s="182"/>
      <c r="U198" s="182">
        <f t="shared" si="789"/>
        <v>0</v>
      </c>
      <c r="V198" s="182"/>
      <c r="W198" s="183">
        <f t="shared" si="790"/>
        <v>0</v>
      </c>
      <c r="X198" s="183">
        <v>79</v>
      </c>
      <c r="Y198" s="183">
        <v>10092810.2996</v>
      </c>
      <c r="Z198" s="183">
        <v>0</v>
      </c>
      <c r="AA198" s="183">
        <v>0</v>
      </c>
      <c r="AB198" s="182">
        <f t="shared" si="745"/>
        <v>79</v>
      </c>
      <c r="AC198" s="182">
        <f t="shared" si="745"/>
        <v>10092810.2996</v>
      </c>
      <c r="AD198" s="182"/>
      <c r="AE198" s="182">
        <f t="shared" si="791"/>
        <v>0</v>
      </c>
      <c r="AF198" s="182"/>
      <c r="AG198" s="182"/>
      <c r="AH198" s="182"/>
      <c r="AI198" s="182">
        <f t="shared" si="792"/>
        <v>0</v>
      </c>
      <c r="AJ198" s="182"/>
      <c r="AK198" s="182"/>
      <c r="AL198" s="182"/>
      <c r="AM198" s="182"/>
      <c r="AN198" s="205"/>
      <c r="AO198" s="182">
        <f t="shared" si="793"/>
        <v>0</v>
      </c>
      <c r="AP198" s="182"/>
      <c r="AQ198" s="183">
        <f t="shared" si="749"/>
        <v>0</v>
      </c>
      <c r="AR198" s="182"/>
      <c r="AS198" s="182">
        <f t="shared" si="794"/>
        <v>0</v>
      </c>
      <c r="AT198" s="182"/>
      <c r="AU198" s="182">
        <f t="shared" si="751"/>
        <v>0</v>
      </c>
      <c r="AV198" s="188">
        <v>0</v>
      </c>
      <c r="AW198" s="182">
        <v>0</v>
      </c>
      <c r="AX198" s="182"/>
      <c r="AY198" s="187">
        <f t="shared" si="795"/>
        <v>0</v>
      </c>
      <c r="AZ198" s="182"/>
      <c r="BA198" s="182">
        <f t="shared" si="796"/>
        <v>0</v>
      </c>
      <c r="BB198" s="182">
        <v>0</v>
      </c>
      <c r="BC198" s="182">
        <f t="shared" si="797"/>
        <v>0</v>
      </c>
      <c r="BD198" s="182"/>
      <c r="BE198" s="182">
        <f t="shared" si="755"/>
        <v>0</v>
      </c>
      <c r="BF198" s="182"/>
      <c r="BG198" s="182">
        <f t="shared" si="756"/>
        <v>0</v>
      </c>
      <c r="BH198" s="182"/>
      <c r="BI198" s="183">
        <f t="shared" si="757"/>
        <v>0</v>
      </c>
      <c r="BJ198" s="182"/>
      <c r="BK198" s="183">
        <f t="shared" si="758"/>
        <v>0</v>
      </c>
      <c r="BL198" s="182"/>
      <c r="BM198" s="182">
        <f t="shared" si="759"/>
        <v>0</v>
      </c>
      <c r="BN198" s="182"/>
      <c r="BO198" s="182">
        <f t="shared" si="760"/>
        <v>0</v>
      </c>
      <c r="BP198" s="182"/>
      <c r="BQ198" s="182">
        <f t="shared" si="761"/>
        <v>0</v>
      </c>
      <c r="BR198" s="182"/>
      <c r="BS198" s="183">
        <f t="shared" si="762"/>
        <v>0</v>
      </c>
      <c r="BT198" s="182"/>
      <c r="BU198" s="182">
        <f t="shared" si="763"/>
        <v>0</v>
      </c>
      <c r="BV198" s="182"/>
      <c r="BW198" s="182">
        <f t="shared" si="764"/>
        <v>0</v>
      </c>
      <c r="BX198" s="182"/>
      <c r="BY198" s="183">
        <f t="shared" si="765"/>
        <v>0</v>
      </c>
      <c r="BZ198" s="182"/>
      <c r="CA198" s="187">
        <f t="shared" si="766"/>
        <v>0</v>
      </c>
      <c r="CB198" s="182"/>
      <c r="CC198" s="182">
        <f t="shared" si="767"/>
        <v>0</v>
      </c>
      <c r="CD198" s="182"/>
      <c r="CE198" s="182">
        <f t="shared" si="768"/>
        <v>0</v>
      </c>
      <c r="CF198" s="182"/>
      <c r="CG198" s="182">
        <f t="shared" si="769"/>
        <v>0</v>
      </c>
      <c r="CH198" s="182"/>
      <c r="CI198" s="182">
        <f t="shared" si="770"/>
        <v>0</v>
      </c>
      <c r="CJ198" s="182"/>
      <c r="CK198" s="182"/>
      <c r="CL198" s="182"/>
      <c r="CM198" s="183">
        <f t="shared" si="771"/>
        <v>0</v>
      </c>
      <c r="CN198" s="182"/>
      <c r="CO198" s="183">
        <f t="shared" si="772"/>
        <v>0</v>
      </c>
      <c r="CP198" s="182"/>
      <c r="CQ198" s="182">
        <f t="shared" si="773"/>
        <v>0</v>
      </c>
      <c r="CR198" s="182"/>
      <c r="CS198" s="182">
        <f t="shared" si="774"/>
        <v>0</v>
      </c>
      <c r="CT198" s="182"/>
      <c r="CU198" s="182">
        <f t="shared" si="775"/>
        <v>0</v>
      </c>
      <c r="CV198" s="182"/>
      <c r="CW198" s="182">
        <v>0</v>
      </c>
      <c r="CX198" s="182"/>
      <c r="CY198" s="182">
        <f t="shared" si="776"/>
        <v>0</v>
      </c>
      <c r="CZ198" s="182"/>
      <c r="DA198" s="182">
        <v>0</v>
      </c>
      <c r="DB198" s="188"/>
      <c r="DC198" s="182">
        <f t="shared" si="777"/>
        <v>0</v>
      </c>
      <c r="DD198" s="182"/>
      <c r="DE198" s="187">
        <f t="shared" si="798"/>
        <v>0</v>
      </c>
      <c r="DF198" s="182"/>
      <c r="DG198" s="182">
        <f t="shared" si="779"/>
        <v>0</v>
      </c>
      <c r="DH198" s="189"/>
      <c r="DI198" s="182">
        <f t="shared" si="780"/>
        <v>0</v>
      </c>
      <c r="DJ198" s="182"/>
      <c r="DK198" s="182">
        <f t="shared" si="781"/>
        <v>0</v>
      </c>
      <c r="DL198" s="182"/>
      <c r="DM198" s="182">
        <f t="shared" si="782"/>
        <v>0</v>
      </c>
      <c r="DN198" s="182"/>
      <c r="DO198" s="190">
        <f t="shared" si="783"/>
        <v>0</v>
      </c>
      <c r="DP198" s="187"/>
      <c r="DQ198" s="187"/>
      <c r="DR198" s="183">
        <f t="shared" si="799"/>
        <v>79</v>
      </c>
      <c r="DS198" s="183">
        <f t="shared" si="799"/>
        <v>10092810.2996</v>
      </c>
      <c r="DT198" s="182">
        <v>79</v>
      </c>
      <c r="DU198" s="182">
        <v>10092810.2996</v>
      </c>
      <c r="DV198" s="167">
        <f t="shared" si="626"/>
        <v>0</v>
      </c>
      <c r="DW198" s="167">
        <f t="shared" si="626"/>
        <v>0</v>
      </c>
    </row>
    <row r="199" spans="1:127" ht="15.75" customHeight="1" x14ac:dyDescent="0.25">
      <c r="A199" s="154"/>
      <c r="B199" s="176">
        <v>165</v>
      </c>
      <c r="C199" s="208" t="s">
        <v>483</v>
      </c>
      <c r="D199" s="178" t="s">
        <v>484</v>
      </c>
      <c r="E199" s="158">
        <v>25969</v>
      </c>
      <c r="F199" s="201">
        <v>2.82</v>
      </c>
      <c r="G199" s="168">
        <v>1</v>
      </c>
      <c r="H199" s="169"/>
      <c r="I199" s="169"/>
      <c r="J199" s="169"/>
      <c r="K199" s="106"/>
      <c r="L199" s="255">
        <v>1.4</v>
      </c>
      <c r="M199" s="255">
        <v>1.68</v>
      </c>
      <c r="N199" s="255">
        <v>2.23</v>
      </c>
      <c r="O199" s="256">
        <v>2.57</v>
      </c>
      <c r="P199" s="182">
        <v>0</v>
      </c>
      <c r="Q199" s="182">
        <f t="shared" si="788"/>
        <v>0</v>
      </c>
      <c r="R199" s="182"/>
      <c r="S199" s="182">
        <f t="shared" si="742"/>
        <v>0</v>
      </c>
      <c r="T199" s="182"/>
      <c r="U199" s="182">
        <f t="shared" si="789"/>
        <v>0</v>
      </c>
      <c r="V199" s="182"/>
      <c r="W199" s="183">
        <f t="shared" si="790"/>
        <v>0</v>
      </c>
      <c r="X199" s="183">
        <v>46</v>
      </c>
      <c r="Y199" s="183">
        <v>6602649.4127999982</v>
      </c>
      <c r="Z199" s="183">
        <v>0</v>
      </c>
      <c r="AA199" s="183">
        <v>0</v>
      </c>
      <c r="AB199" s="182">
        <f t="shared" si="745"/>
        <v>46</v>
      </c>
      <c r="AC199" s="182">
        <f t="shared" si="745"/>
        <v>6602649.4127999982</v>
      </c>
      <c r="AD199" s="182"/>
      <c r="AE199" s="182">
        <f t="shared" si="791"/>
        <v>0</v>
      </c>
      <c r="AF199" s="182"/>
      <c r="AG199" s="182"/>
      <c r="AH199" s="182"/>
      <c r="AI199" s="182">
        <f t="shared" si="792"/>
        <v>0</v>
      </c>
      <c r="AJ199" s="182"/>
      <c r="AK199" s="182"/>
      <c r="AL199" s="182"/>
      <c r="AM199" s="182"/>
      <c r="AN199" s="205"/>
      <c r="AO199" s="182">
        <f t="shared" si="793"/>
        <v>0</v>
      </c>
      <c r="AP199" s="182"/>
      <c r="AQ199" s="183">
        <f t="shared" si="749"/>
        <v>0</v>
      </c>
      <c r="AR199" s="182"/>
      <c r="AS199" s="182">
        <f t="shared" si="794"/>
        <v>0</v>
      </c>
      <c r="AT199" s="182"/>
      <c r="AU199" s="182">
        <f t="shared" si="751"/>
        <v>0</v>
      </c>
      <c r="AV199" s="188">
        <v>0</v>
      </c>
      <c r="AW199" s="182">
        <v>0</v>
      </c>
      <c r="AX199" s="182"/>
      <c r="AY199" s="187">
        <f t="shared" si="795"/>
        <v>0</v>
      </c>
      <c r="AZ199" s="182"/>
      <c r="BA199" s="182">
        <f t="shared" si="796"/>
        <v>0</v>
      </c>
      <c r="BB199" s="182">
        <v>0</v>
      </c>
      <c r="BC199" s="182">
        <f t="shared" si="797"/>
        <v>0</v>
      </c>
      <c r="BD199" s="182"/>
      <c r="BE199" s="182">
        <f t="shared" si="755"/>
        <v>0</v>
      </c>
      <c r="BF199" s="182"/>
      <c r="BG199" s="182">
        <f t="shared" si="756"/>
        <v>0</v>
      </c>
      <c r="BH199" s="182"/>
      <c r="BI199" s="183">
        <f t="shared" si="757"/>
        <v>0</v>
      </c>
      <c r="BJ199" s="182"/>
      <c r="BK199" s="183">
        <f t="shared" si="758"/>
        <v>0</v>
      </c>
      <c r="BL199" s="182"/>
      <c r="BM199" s="182">
        <f t="shared" si="759"/>
        <v>0</v>
      </c>
      <c r="BN199" s="182"/>
      <c r="BO199" s="182">
        <f t="shared" si="760"/>
        <v>0</v>
      </c>
      <c r="BP199" s="182"/>
      <c r="BQ199" s="182">
        <f t="shared" si="761"/>
        <v>0</v>
      </c>
      <c r="BR199" s="182"/>
      <c r="BS199" s="183">
        <f t="shared" si="762"/>
        <v>0</v>
      </c>
      <c r="BT199" s="182"/>
      <c r="BU199" s="182">
        <f t="shared" si="763"/>
        <v>0</v>
      </c>
      <c r="BV199" s="182"/>
      <c r="BW199" s="182">
        <f t="shared" si="764"/>
        <v>0</v>
      </c>
      <c r="BX199" s="182"/>
      <c r="BY199" s="183">
        <f t="shared" si="765"/>
        <v>0</v>
      </c>
      <c r="BZ199" s="182"/>
      <c r="CA199" s="187">
        <f t="shared" si="766"/>
        <v>0</v>
      </c>
      <c r="CB199" s="182"/>
      <c r="CC199" s="182">
        <f t="shared" si="767"/>
        <v>0</v>
      </c>
      <c r="CD199" s="182"/>
      <c r="CE199" s="182">
        <f t="shared" si="768"/>
        <v>0</v>
      </c>
      <c r="CF199" s="182"/>
      <c r="CG199" s="182">
        <f t="shared" si="769"/>
        <v>0</v>
      </c>
      <c r="CH199" s="182"/>
      <c r="CI199" s="182">
        <f t="shared" si="770"/>
        <v>0</v>
      </c>
      <c r="CJ199" s="182"/>
      <c r="CK199" s="182"/>
      <c r="CL199" s="182"/>
      <c r="CM199" s="183">
        <f t="shared" si="771"/>
        <v>0</v>
      </c>
      <c r="CN199" s="182"/>
      <c r="CO199" s="183">
        <f t="shared" si="772"/>
        <v>0</v>
      </c>
      <c r="CP199" s="182"/>
      <c r="CQ199" s="182">
        <f t="shared" si="773"/>
        <v>0</v>
      </c>
      <c r="CR199" s="182"/>
      <c r="CS199" s="182">
        <f t="shared" si="774"/>
        <v>0</v>
      </c>
      <c r="CT199" s="182"/>
      <c r="CU199" s="182">
        <f t="shared" si="775"/>
        <v>0</v>
      </c>
      <c r="CV199" s="182"/>
      <c r="CW199" s="182">
        <v>0</v>
      </c>
      <c r="CX199" s="182"/>
      <c r="CY199" s="182">
        <f t="shared" si="776"/>
        <v>0</v>
      </c>
      <c r="CZ199" s="182"/>
      <c r="DA199" s="182">
        <v>0</v>
      </c>
      <c r="DB199" s="188"/>
      <c r="DC199" s="182">
        <f t="shared" si="777"/>
        <v>0</v>
      </c>
      <c r="DD199" s="182"/>
      <c r="DE199" s="187">
        <f t="shared" si="798"/>
        <v>0</v>
      </c>
      <c r="DF199" s="182"/>
      <c r="DG199" s="182">
        <f t="shared" si="779"/>
        <v>0</v>
      </c>
      <c r="DH199" s="189"/>
      <c r="DI199" s="182">
        <f t="shared" si="780"/>
        <v>0</v>
      </c>
      <c r="DJ199" s="182"/>
      <c r="DK199" s="182">
        <f t="shared" si="781"/>
        <v>0</v>
      </c>
      <c r="DL199" s="182"/>
      <c r="DM199" s="182">
        <f t="shared" si="782"/>
        <v>0</v>
      </c>
      <c r="DN199" s="182"/>
      <c r="DO199" s="190">
        <f t="shared" si="783"/>
        <v>0</v>
      </c>
      <c r="DP199" s="187"/>
      <c r="DQ199" s="187"/>
      <c r="DR199" s="183">
        <f t="shared" si="799"/>
        <v>46</v>
      </c>
      <c r="DS199" s="183">
        <f t="shared" si="799"/>
        <v>6602649.4127999982</v>
      </c>
      <c r="DT199" s="182">
        <v>46</v>
      </c>
      <c r="DU199" s="182">
        <v>6602649.4127999982</v>
      </c>
      <c r="DV199" s="167">
        <f t="shared" si="626"/>
        <v>0</v>
      </c>
      <c r="DW199" s="167">
        <f t="shared" si="626"/>
        <v>0</v>
      </c>
    </row>
    <row r="200" spans="1:127" ht="15.75" customHeight="1" x14ac:dyDescent="0.25">
      <c r="A200" s="154"/>
      <c r="B200" s="176">
        <v>166</v>
      </c>
      <c r="C200" s="208" t="s">
        <v>485</v>
      </c>
      <c r="D200" s="178" t="s">
        <v>486</v>
      </c>
      <c r="E200" s="158">
        <v>25969</v>
      </c>
      <c r="F200" s="201">
        <v>4.51</v>
      </c>
      <c r="G200" s="168">
        <v>1</v>
      </c>
      <c r="H200" s="169"/>
      <c r="I200" s="169"/>
      <c r="J200" s="169"/>
      <c r="K200" s="106"/>
      <c r="L200" s="255">
        <v>1.4</v>
      </c>
      <c r="M200" s="255">
        <v>1.68</v>
      </c>
      <c r="N200" s="255">
        <v>2.23</v>
      </c>
      <c r="O200" s="256">
        <v>2.57</v>
      </c>
      <c r="P200" s="182">
        <v>0</v>
      </c>
      <c r="Q200" s="182">
        <f t="shared" si="788"/>
        <v>0</v>
      </c>
      <c r="R200" s="182"/>
      <c r="S200" s="182">
        <f t="shared" si="742"/>
        <v>0</v>
      </c>
      <c r="T200" s="182"/>
      <c r="U200" s="182">
        <f t="shared" si="789"/>
        <v>0</v>
      </c>
      <c r="V200" s="182"/>
      <c r="W200" s="183">
        <f t="shared" si="790"/>
        <v>0</v>
      </c>
      <c r="X200" s="183">
        <v>6</v>
      </c>
      <c r="Y200" s="183">
        <v>1377333.4343999997</v>
      </c>
      <c r="Z200" s="183">
        <v>0</v>
      </c>
      <c r="AA200" s="183">
        <v>0</v>
      </c>
      <c r="AB200" s="182">
        <f t="shared" si="745"/>
        <v>6</v>
      </c>
      <c r="AC200" s="182">
        <f t="shared" si="745"/>
        <v>1377333.4343999997</v>
      </c>
      <c r="AD200" s="182"/>
      <c r="AE200" s="182">
        <f t="shared" si="791"/>
        <v>0</v>
      </c>
      <c r="AF200" s="182"/>
      <c r="AG200" s="182"/>
      <c r="AH200" s="182"/>
      <c r="AI200" s="182">
        <f t="shared" si="792"/>
        <v>0</v>
      </c>
      <c r="AJ200" s="182"/>
      <c r="AK200" s="182"/>
      <c r="AL200" s="182"/>
      <c r="AM200" s="182"/>
      <c r="AN200" s="205"/>
      <c r="AO200" s="182">
        <f t="shared" si="793"/>
        <v>0</v>
      </c>
      <c r="AP200" s="182"/>
      <c r="AQ200" s="183">
        <f t="shared" si="749"/>
        <v>0</v>
      </c>
      <c r="AR200" s="182"/>
      <c r="AS200" s="182">
        <f t="shared" si="794"/>
        <v>0</v>
      </c>
      <c r="AT200" s="182"/>
      <c r="AU200" s="182">
        <f t="shared" si="751"/>
        <v>0</v>
      </c>
      <c r="AV200" s="188">
        <v>0</v>
      </c>
      <c r="AW200" s="182">
        <v>0</v>
      </c>
      <c r="AX200" s="182"/>
      <c r="AY200" s="187">
        <f t="shared" si="795"/>
        <v>0</v>
      </c>
      <c r="AZ200" s="182"/>
      <c r="BA200" s="182">
        <f t="shared" si="796"/>
        <v>0</v>
      </c>
      <c r="BB200" s="182">
        <v>0</v>
      </c>
      <c r="BC200" s="182">
        <f t="shared" si="797"/>
        <v>0</v>
      </c>
      <c r="BD200" s="182"/>
      <c r="BE200" s="182">
        <f t="shared" si="755"/>
        <v>0</v>
      </c>
      <c r="BF200" s="182"/>
      <c r="BG200" s="182">
        <f t="shared" si="756"/>
        <v>0</v>
      </c>
      <c r="BH200" s="182"/>
      <c r="BI200" s="183">
        <f t="shared" si="757"/>
        <v>0</v>
      </c>
      <c r="BJ200" s="182"/>
      <c r="BK200" s="183">
        <f t="shared" si="758"/>
        <v>0</v>
      </c>
      <c r="BL200" s="182"/>
      <c r="BM200" s="182">
        <f t="shared" si="759"/>
        <v>0</v>
      </c>
      <c r="BN200" s="182"/>
      <c r="BO200" s="182">
        <f t="shared" si="760"/>
        <v>0</v>
      </c>
      <c r="BP200" s="182"/>
      <c r="BQ200" s="182">
        <f t="shared" si="761"/>
        <v>0</v>
      </c>
      <c r="BR200" s="182"/>
      <c r="BS200" s="183">
        <f t="shared" si="762"/>
        <v>0</v>
      </c>
      <c r="BT200" s="182"/>
      <c r="BU200" s="182">
        <f t="shared" si="763"/>
        <v>0</v>
      </c>
      <c r="BV200" s="182"/>
      <c r="BW200" s="182">
        <f t="shared" si="764"/>
        <v>0</v>
      </c>
      <c r="BX200" s="182"/>
      <c r="BY200" s="183">
        <f t="shared" si="765"/>
        <v>0</v>
      </c>
      <c r="BZ200" s="182"/>
      <c r="CA200" s="187">
        <f t="shared" si="766"/>
        <v>0</v>
      </c>
      <c r="CB200" s="182"/>
      <c r="CC200" s="182">
        <f t="shared" si="767"/>
        <v>0</v>
      </c>
      <c r="CD200" s="182"/>
      <c r="CE200" s="182">
        <f t="shared" si="768"/>
        <v>0</v>
      </c>
      <c r="CF200" s="182"/>
      <c r="CG200" s="182">
        <f t="shared" si="769"/>
        <v>0</v>
      </c>
      <c r="CH200" s="182"/>
      <c r="CI200" s="182">
        <f t="shared" si="770"/>
        <v>0</v>
      </c>
      <c r="CJ200" s="182"/>
      <c r="CK200" s="182"/>
      <c r="CL200" s="182"/>
      <c r="CM200" s="183">
        <f t="shared" si="771"/>
        <v>0</v>
      </c>
      <c r="CN200" s="182"/>
      <c r="CO200" s="183">
        <f t="shared" si="772"/>
        <v>0</v>
      </c>
      <c r="CP200" s="182"/>
      <c r="CQ200" s="182">
        <f t="shared" si="773"/>
        <v>0</v>
      </c>
      <c r="CR200" s="182"/>
      <c r="CS200" s="182">
        <f t="shared" si="774"/>
        <v>0</v>
      </c>
      <c r="CT200" s="182"/>
      <c r="CU200" s="182">
        <f t="shared" si="775"/>
        <v>0</v>
      </c>
      <c r="CV200" s="182"/>
      <c r="CW200" s="182">
        <v>0</v>
      </c>
      <c r="CX200" s="182"/>
      <c r="CY200" s="182">
        <f t="shared" si="776"/>
        <v>0</v>
      </c>
      <c r="CZ200" s="182"/>
      <c r="DA200" s="182">
        <v>0</v>
      </c>
      <c r="DB200" s="188"/>
      <c r="DC200" s="182">
        <f t="shared" si="777"/>
        <v>0</v>
      </c>
      <c r="DD200" s="182"/>
      <c r="DE200" s="187">
        <f t="shared" si="798"/>
        <v>0</v>
      </c>
      <c r="DF200" s="182"/>
      <c r="DG200" s="182">
        <f t="shared" si="779"/>
        <v>0</v>
      </c>
      <c r="DH200" s="189"/>
      <c r="DI200" s="182">
        <f t="shared" si="780"/>
        <v>0</v>
      </c>
      <c r="DJ200" s="182"/>
      <c r="DK200" s="182">
        <f t="shared" si="781"/>
        <v>0</v>
      </c>
      <c r="DL200" s="182"/>
      <c r="DM200" s="182">
        <f t="shared" si="782"/>
        <v>0</v>
      </c>
      <c r="DN200" s="182"/>
      <c r="DO200" s="190">
        <f t="shared" si="783"/>
        <v>0</v>
      </c>
      <c r="DP200" s="187"/>
      <c r="DQ200" s="187"/>
      <c r="DR200" s="183">
        <f t="shared" si="799"/>
        <v>6</v>
      </c>
      <c r="DS200" s="183">
        <f t="shared" si="799"/>
        <v>1377333.4343999997</v>
      </c>
      <c r="DT200" s="182">
        <v>6</v>
      </c>
      <c r="DU200" s="182">
        <v>1377333.4343999997</v>
      </c>
      <c r="DV200" s="167">
        <f t="shared" si="626"/>
        <v>0</v>
      </c>
      <c r="DW200" s="167">
        <f t="shared" si="626"/>
        <v>0</v>
      </c>
    </row>
    <row r="201" spans="1:127" ht="15.75" customHeight="1" x14ac:dyDescent="0.25">
      <c r="A201" s="154"/>
      <c r="B201" s="176">
        <v>167</v>
      </c>
      <c r="C201" s="208" t="s">
        <v>487</v>
      </c>
      <c r="D201" s="178" t="s">
        <v>488</v>
      </c>
      <c r="E201" s="158">
        <v>25969</v>
      </c>
      <c r="F201" s="201">
        <v>4.87</v>
      </c>
      <c r="G201" s="168">
        <v>1</v>
      </c>
      <c r="H201" s="169"/>
      <c r="I201" s="169"/>
      <c r="J201" s="169"/>
      <c r="K201" s="106"/>
      <c r="L201" s="255">
        <v>1.4</v>
      </c>
      <c r="M201" s="255">
        <v>1.68</v>
      </c>
      <c r="N201" s="255">
        <v>2.23</v>
      </c>
      <c r="O201" s="256">
        <v>2.57</v>
      </c>
      <c r="P201" s="182">
        <v>0</v>
      </c>
      <c r="Q201" s="182">
        <f t="shared" si="788"/>
        <v>0</v>
      </c>
      <c r="R201" s="182"/>
      <c r="S201" s="182">
        <f t="shared" si="742"/>
        <v>0</v>
      </c>
      <c r="T201" s="182"/>
      <c r="U201" s="182">
        <f t="shared" si="789"/>
        <v>0</v>
      </c>
      <c r="V201" s="182"/>
      <c r="W201" s="183">
        <f t="shared" si="790"/>
        <v>0</v>
      </c>
      <c r="X201" s="183">
        <v>153</v>
      </c>
      <c r="Y201" s="183">
        <v>37925532.716399997</v>
      </c>
      <c r="Z201" s="183">
        <v>0</v>
      </c>
      <c r="AA201" s="183">
        <v>0</v>
      </c>
      <c r="AB201" s="182">
        <v>153</v>
      </c>
      <c r="AC201" s="182">
        <f t="shared" ref="AC201" si="800">(AB201*$E201*$F201*$G201*$L201*$AC$12)</f>
        <v>37925532.716399997</v>
      </c>
      <c r="AD201" s="182"/>
      <c r="AE201" s="182">
        <f t="shared" si="791"/>
        <v>0</v>
      </c>
      <c r="AF201" s="182"/>
      <c r="AG201" s="182"/>
      <c r="AH201" s="182"/>
      <c r="AI201" s="182">
        <f t="shared" si="792"/>
        <v>0</v>
      </c>
      <c r="AJ201" s="182"/>
      <c r="AK201" s="182"/>
      <c r="AL201" s="182"/>
      <c r="AM201" s="182"/>
      <c r="AN201" s="205"/>
      <c r="AO201" s="182">
        <f t="shared" si="793"/>
        <v>0</v>
      </c>
      <c r="AP201" s="182"/>
      <c r="AQ201" s="183">
        <f t="shared" si="749"/>
        <v>0</v>
      </c>
      <c r="AR201" s="182"/>
      <c r="AS201" s="182">
        <f t="shared" si="794"/>
        <v>0</v>
      </c>
      <c r="AT201" s="182"/>
      <c r="AU201" s="182">
        <f t="shared" si="751"/>
        <v>0</v>
      </c>
      <c r="AV201" s="188">
        <v>0</v>
      </c>
      <c r="AW201" s="182">
        <v>0</v>
      </c>
      <c r="AX201" s="182"/>
      <c r="AY201" s="187">
        <f t="shared" si="795"/>
        <v>0</v>
      </c>
      <c r="AZ201" s="182"/>
      <c r="BA201" s="182">
        <f t="shared" si="796"/>
        <v>0</v>
      </c>
      <c r="BB201" s="182">
        <v>0</v>
      </c>
      <c r="BC201" s="182">
        <f t="shared" si="797"/>
        <v>0</v>
      </c>
      <c r="BD201" s="182"/>
      <c r="BE201" s="182">
        <f t="shared" si="755"/>
        <v>0</v>
      </c>
      <c r="BF201" s="182"/>
      <c r="BG201" s="182">
        <f t="shared" si="756"/>
        <v>0</v>
      </c>
      <c r="BH201" s="182"/>
      <c r="BI201" s="183">
        <f t="shared" si="757"/>
        <v>0</v>
      </c>
      <c r="BJ201" s="182"/>
      <c r="BK201" s="183">
        <f t="shared" si="758"/>
        <v>0</v>
      </c>
      <c r="BL201" s="182"/>
      <c r="BM201" s="182">
        <f t="shared" si="759"/>
        <v>0</v>
      </c>
      <c r="BN201" s="182"/>
      <c r="BO201" s="182">
        <f t="shared" si="760"/>
        <v>0</v>
      </c>
      <c r="BP201" s="182"/>
      <c r="BQ201" s="182">
        <f t="shared" si="761"/>
        <v>0</v>
      </c>
      <c r="BR201" s="182"/>
      <c r="BS201" s="183">
        <f t="shared" si="762"/>
        <v>0</v>
      </c>
      <c r="BT201" s="182"/>
      <c r="BU201" s="182">
        <f t="shared" si="763"/>
        <v>0</v>
      </c>
      <c r="BV201" s="182"/>
      <c r="BW201" s="182">
        <f t="shared" si="764"/>
        <v>0</v>
      </c>
      <c r="BX201" s="182"/>
      <c r="BY201" s="183">
        <f t="shared" si="765"/>
        <v>0</v>
      </c>
      <c r="BZ201" s="182"/>
      <c r="CA201" s="187">
        <f t="shared" si="766"/>
        <v>0</v>
      </c>
      <c r="CB201" s="182"/>
      <c r="CC201" s="182">
        <f t="shared" si="767"/>
        <v>0</v>
      </c>
      <c r="CD201" s="182"/>
      <c r="CE201" s="182">
        <f t="shared" si="768"/>
        <v>0</v>
      </c>
      <c r="CF201" s="182"/>
      <c r="CG201" s="182">
        <f t="shared" si="769"/>
        <v>0</v>
      </c>
      <c r="CH201" s="182"/>
      <c r="CI201" s="182">
        <f t="shared" si="770"/>
        <v>0</v>
      </c>
      <c r="CJ201" s="182"/>
      <c r="CK201" s="182"/>
      <c r="CL201" s="182"/>
      <c r="CM201" s="183">
        <f t="shared" si="771"/>
        <v>0</v>
      </c>
      <c r="CN201" s="182"/>
      <c r="CO201" s="183">
        <f t="shared" si="772"/>
        <v>0</v>
      </c>
      <c r="CP201" s="182"/>
      <c r="CQ201" s="182">
        <f t="shared" si="773"/>
        <v>0</v>
      </c>
      <c r="CR201" s="182"/>
      <c r="CS201" s="182">
        <f t="shared" si="774"/>
        <v>0</v>
      </c>
      <c r="CT201" s="182"/>
      <c r="CU201" s="182">
        <f t="shared" si="775"/>
        <v>0</v>
      </c>
      <c r="CV201" s="182"/>
      <c r="CW201" s="182">
        <v>0</v>
      </c>
      <c r="CX201" s="182"/>
      <c r="CY201" s="182">
        <f t="shared" si="776"/>
        <v>0</v>
      </c>
      <c r="CZ201" s="182"/>
      <c r="DA201" s="182">
        <v>0</v>
      </c>
      <c r="DB201" s="188"/>
      <c r="DC201" s="182">
        <f t="shared" si="777"/>
        <v>0</v>
      </c>
      <c r="DD201" s="182"/>
      <c r="DE201" s="187">
        <f t="shared" si="798"/>
        <v>0</v>
      </c>
      <c r="DF201" s="182"/>
      <c r="DG201" s="182">
        <f t="shared" si="779"/>
        <v>0</v>
      </c>
      <c r="DH201" s="189"/>
      <c r="DI201" s="182">
        <f t="shared" si="780"/>
        <v>0</v>
      </c>
      <c r="DJ201" s="182"/>
      <c r="DK201" s="182">
        <f t="shared" si="781"/>
        <v>0</v>
      </c>
      <c r="DL201" s="182"/>
      <c r="DM201" s="182">
        <f t="shared" si="782"/>
        <v>0</v>
      </c>
      <c r="DN201" s="182"/>
      <c r="DO201" s="190">
        <f t="shared" si="783"/>
        <v>0</v>
      </c>
      <c r="DP201" s="187"/>
      <c r="DQ201" s="187"/>
      <c r="DR201" s="183">
        <f t="shared" si="799"/>
        <v>153</v>
      </c>
      <c r="DS201" s="183">
        <f t="shared" si="799"/>
        <v>37925532.716399997</v>
      </c>
      <c r="DT201" s="182">
        <v>153</v>
      </c>
      <c r="DU201" s="182">
        <v>37925532.716399997</v>
      </c>
      <c r="DV201" s="167">
        <f t="shared" si="626"/>
        <v>0</v>
      </c>
      <c r="DW201" s="167">
        <f t="shared" si="626"/>
        <v>0</v>
      </c>
    </row>
    <row r="202" spans="1:127" ht="20.25" customHeight="1" x14ac:dyDescent="0.25">
      <c r="A202" s="154"/>
      <c r="B202" s="176">
        <v>168</v>
      </c>
      <c r="C202" s="208" t="s">
        <v>489</v>
      </c>
      <c r="D202" s="178" t="s">
        <v>490</v>
      </c>
      <c r="E202" s="158">
        <v>25969</v>
      </c>
      <c r="F202" s="201">
        <v>14.55</v>
      </c>
      <c r="G202" s="168">
        <v>1</v>
      </c>
      <c r="H202" s="169"/>
      <c r="I202" s="169"/>
      <c r="J202" s="169"/>
      <c r="K202" s="106"/>
      <c r="L202" s="255">
        <v>1.4</v>
      </c>
      <c r="M202" s="255">
        <v>1.68</v>
      </c>
      <c r="N202" s="255">
        <v>2.23</v>
      </c>
      <c r="O202" s="256">
        <v>2.57</v>
      </c>
      <c r="P202" s="182">
        <v>0</v>
      </c>
      <c r="Q202" s="182">
        <f t="shared" si="788"/>
        <v>0</v>
      </c>
      <c r="R202" s="182"/>
      <c r="S202" s="182">
        <f t="shared" si="742"/>
        <v>0</v>
      </c>
      <c r="T202" s="182"/>
      <c r="U202" s="182">
        <f t="shared" si="789"/>
        <v>0</v>
      </c>
      <c r="V202" s="182"/>
      <c r="W202" s="183">
        <f t="shared" si="790"/>
        <v>0</v>
      </c>
      <c r="X202" s="183">
        <v>34</v>
      </c>
      <c r="Y202" s="183">
        <v>25179854.027999997</v>
      </c>
      <c r="Z202" s="183">
        <v>0</v>
      </c>
      <c r="AA202" s="183">
        <v>0</v>
      </c>
      <c r="AB202" s="182">
        <f t="shared" ref="AB202:AC243" si="801">X202+Z202</f>
        <v>34</v>
      </c>
      <c r="AC202" s="182">
        <f t="shared" si="801"/>
        <v>25179854.027999997</v>
      </c>
      <c r="AD202" s="182"/>
      <c r="AE202" s="182">
        <f t="shared" si="791"/>
        <v>0</v>
      </c>
      <c r="AF202" s="182"/>
      <c r="AG202" s="182"/>
      <c r="AH202" s="182"/>
      <c r="AI202" s="182">
        <f t="shared" si="792"/>
        <v>0</v>
      </c>
      <c r="AJ202" s="182"/>
      <c r="AK202" s="182"/>
      <c r="AL202" s="182"/>
      <c r="AM202" s="182"/>
      <c r="AN202" s="205"/>
      <c r="AO202" s="182">
        <f t="shared" si="793"/>
        <v>0</v>
      </c>
      <c r="AP202" s="182"/>
      <c r="AQ202" s="183">
        <f t="shared" si="749"/>
        <v>0</v>
      </c>
      <c r="AR202" s="182"/>
      <c r="AS202" s="182">
        <f t="shared" si="794"/>
        <v>0</v>
      </c>
      <c r="AT202" s="182"/>
      <c r="AU202" s="182">
        <f t="shared" si="751"/>
        <v>0</v>
      </c>
      <c r="AV202" s="188">
        <v>0</v>
      </c>
      <c r="AW202" s="182">
        <v>0</v>
      </c>
      <c r="AX202" s="182"/>
      <c r="AY202" s="187">
        <f t="shared" si="795"/>
        <v>0</v>
      </c>
      <c r="AZ202" s="182"/>
      <c r="BA202" s="182">
        <f t="shared" si="796"/>
        <v>0</v>
      </c>
      <c r="BB202" s="182">
        <v>0</v>
      </c>
      <c r="BC202" s="182">
        <f t="shared" si="797"/>
        <v>0</v>
      </c>
      <c r="BD202" s="182"/>
      <c r="BE202" s="182">
        <f t="shared" si="755"/>
        <v>0</v>
      </c>
      <c r="BF202" s="182"/>
      <c r="BG202" s="182">
        <f t="shared" si="756"/>
        <v>0</v>
      </c>
      <c r="BH202" s="182"/>
      <c r="BI202" s="183">
        <f t="shared" si="757"/>
        <v>0</v>
      </c>
      <c r="BJ202" s="182"/>
      <c r="BK202" s="183">
        <f t="shared" si="758"/>
        <v>0</v>
      </c>
      <c r="BL202" s="182"/>
      <c r="BM202" s="182">
        <f t="shared" si="759"/>
        <v>0</v>
      </c>
      <c r="BN202" s="182"/>
      <c r="BO202" s="182">
        <f t="shared" si="760"/>
        <v>0</v>
      </c>
      <c r="BP202" s="182"/>
      <c r="BQ202" s="182">
        <f t="shared" si="761"/>
        <v>0</v>
      </c>
      <c r="BR202" s="182"/>
      <c r="BS202" s="183">
        <f t="shared" si="762"/>
        <v>0</v>
      </c>
      <c r="BT202" s="182"/>
      <c r="BU202" s="182">
        <f t="shared" si="763"/>
        <v>0</v>
      </c>
      <c r="BV202" s="182"/>
      <c r="BW202" s="182">
        <f t="shared" si="764"/>
        <v>0</v>
      </c>
      <c r="BX202" s="182"/>
      <c r="BY202" s="183">
        <f t="shared" si="765"/>
        <v>0</v>
      </c>
      <c r="BZ202" s="182"/>
      <c r="CA202" s="187">
        <f t="shared" si="766"/>
        <v>0</v>
      </c>
      <c r="CB202" s="182"/>
      <c r="CC202" s="182">
        <f t="shared" si="767"/>
        <v>0</v>
      </c>
      <c r="CD202" s="182"/>
      <c r="CE202" s="182">
        <f t="shared" si="768"/>
        <v>0</v>
      </c>
      <c r="CF202" s="182"/>
      <c r="CG202" s="182">
        <f t="shared" si="769"/>
        <v>0</v>
      </c>
      <c r="CH202" s="182"/>
      <c r="CI202" s="182">
        <f t="shared" si="770"/>
        <v>0</v>
      </c>
      <c r="CJ202" s="182"/>
      <c r="CK202" s="182"/>
      <c r="CL202" s="182"/>
      <c r="CM202" s="183">
        <f t="shared" si="771"/>
        <v>0</v>
      </c>
      <c r="CN202" s="182"/>
      <c r="CO202" s="183">
        <f t="shared" si="772"/>
        <v>0</v>
      </c>
      <c r="CP202" s="182"/>
      <c r="CQ202" s="182">
        <f t="shared" si="773"/>
        <v>0</v>
      </c>
      <c r="CR202" s="182"/>
      <c r="CS202" s="182">
        <f t="shared" si="774"/>
        <v>0</v>
      </c>
      <c r="CT202" s="182"/>
      <c r="CU202" s="182">
        <f t="shared" si="775"/>
        <v>0</v>
      </c>
      <c r="CV202" s="182"/>
      <c r="CW202" s="182">
        <v>0</v>
      </c>
      <c r="CX202" s="182"/>
      <c r="CY202" s="182">
        <f t="shared" si="776"/>
        <v>0</v>
      </c>
      <c r="CZ202" s="182"/>
      <c r="DA202" s="182">
        <v>0</v>
      </c>
      <c r="DB202" s="188"/>
      <c r="DC202" s="182">
        <f t="shared" si="777"/>
        <v>0</v>
      </c>
      <c r="DD202" s="182"/>
      <c r="DE202" s="187">
        <f t="shared" si="798"/>
        <v>0</v>
      </c>
      <c r="DF202" s="182"/>
      <c r="DG202" s="182">
        <f t="shared" si="779"/>
        <v>0</v>
      </c>
      <c r="DH202" s="189"/>
      <c r="DI202" s="182">
        <f t="shared" si="780"/>
        <v>0</v>
      </c>
      <c r="DJ202" s="182"/>
      <c r="DK202" s="182">
        <f t="shared" si="781"/>
        <v>0</v>
      </c>
      <c r="DL202" s="182"/>
      <c r="DM202" s="182">
        <f t="shared" si="782"/>
        <v>0</v>
      </c>
      <c r="DN202" s="182"/>
      <c r="DO202" s="190">
        <f t="shared" si="783"/>
        <v>0</v>
      </c>
      <c r="DP202" s="187"/>
      <c r="DQ202" s="187"/>
      <c r="DR202" s="183">
        <f t="shared" si="799"/>
        <v>34</v>
      </c>
      <c r="DS202" s="183">
        <f t="shared" si="799"/>
        <v>25179854.027999997</v>
      </c>
      <c r="DT202" s="182">
        <v>34</v>
      </c>
      <c r="DU202" s="182">
        <v>25179854.027999997</v>
      </c>
      <c r="DV202" s="167">
        <f t="shared" si="626"/>
        <v>0</v>
      </c>
      <c r="DW202" s="167">
        <f t="shared" si="626"/>
        <v>0</v>
      </c>
    </row>
    <row r="203" spans="1:127" ht="30" customHeight="1" x14ac:dyDescent="0.25">
      <c r="A203" s="154"/>
      <c r="B203" s="176">
        <v>169</v>
      </c>
      <c r="C203" s="208" t="s">
        <v>491</v>
      </c>
      <c r="D203" s="178" t="s">
        <v>492</v>
      </c>
      <c r="E203" s="158">
        <v>25969</v>
      </c>
      <c r="F203" s="201">
        <v>3.78</v>
      </c>
      <c r="G203" s="168">
        <v>1</v>
      </c>
      <c r="H203" s="169"/>
      <c r="I203" s="169"/>
      <c r="J203" s="169"/>
      <c r="K203" s="195">
        <v>0.87080000000000002</v>
      </c>
      <c r="L203" s="255">
        <v>1.4</v>
      </c>
      <c r="M203" s="255">
        <v>1.68</v>
      </c>
      <c r="N203" s="255">
        <v>2.23</v>
      </c>
      <c r="O203" s="256">
        <v>2.57</v>
      </c>
      <c r="P203" s="182">
        <v>0</v>
      </c>
      <c r="Q203" s="196">
        <f t="shared" ref="Q203:Q208" si="802">(P203*$E203*$F203*((1-$K203)+$K203*$L203*$Q$12*$G203))</f>
        <v>0</v>
      </c>
      <c r="R203" s="196"/>
      <c r="S203" s="196">
        <f t="shared" ref="S203:S208" si="803">(R203*$E203*$F203*((1-$K203)+$K203*$L203*$S$12*$G203))</f>
        <v>0</v>
      </c>
      <c r="T203" s="196"/>
      <c r="U203" s="196">
        <f t="shared" ref="U203:U208" si="804">(T203*$E203*$F203*((1-$K203)+$K203*$L203*U$12*$G203))</f>
        <v>0</v>
      </c>
      <c r="V203" s="182"/>
      <c r="W203" s="196">
        <f t="shared" ref="W203:W208" si="805">(V203*$E203*$F203*((1-$K203)+$K203*$L203*$W$12*$G203))</f>
        <v>0</v>
      </c>
      <c r="X203" s="196"/>
      <c r="Y203" s="196">
        <v>0</v>
      </c>
      <c r="Z203" s="196">
        <v>0</v>
      </c>
      <c r="AA203" s="196">
        <v>0</v>
      </c>
      <c r="AB203" s="182">
        <f t="shared" si="801"/>
        <v>0</v>
      </c>
      <c r="AC203" s="182">
        <f t="shared" si="801"/>
        <v>0</v>
      </c>
      <c r="AD203" s="182"/>
      <c r="AE203" s="196">
        <f t="shared" ref="AE203:AE208" si="806">(AD203*$E203*$F203*((1-$K203)+$K203*$L203*$AE$12*$G203))</f>
        <v>0</v>
      </c>
      <c r="AF203" s="182"/>
      <c r="AG203" s="182"/>
      <c r="AH203" s="182"/>
      <c r="AI203" s="196">
        <f t="shared" ref="AI203:AI208" si="807">(AH203*$E203*$F203*((1-$K203)+$K203*$L203*AI$12*$G203))</f>
        <v>0</v>
      </c>
      <c r="AJ203" s="196"/>
      <c r="AK203" s="196"/>
      <c r="AL203" s="182"/>
      <c r="AM203" s="182"/>
      <c r="AN203" s="205"/>
      <c r="AO203" s="196">
        <f t="shared" ref="AO203:AO208" si="808">(AN203*$E203*$F203*((1-$K203)+$K203*$G203*AO$12*$L203))</f>
        <v>0</v>
      </c>
      <c r="AP203" s="182"/>
      <c r="AQ203" s="196">
        <f t="shared" ref="AQ203:AQ208" si="809">(AP203*$E203*$F203*((1-$K203)+$K203*$G203*AQ$12*$L203))</f>
        <v>0</v>
      </c>
      <c r="AR203" s="182"/>
      <c r="AS203" s="196">
        <f t="shared" ref="AS203:AS208" si="810">(AR203*$E203*$F203*((1-$K203)+$K203*$G203*AS$12*$L203))</f>
        <v>0</v>
      </c>
      <c r="AT203" s="182"/>
      <c r="AU203" s="196">
        <f t="shared" ref="AU203:AU208" si="811">(AT203*$E203*$F203*((1-$K203)+$K203*$G203*AU$12*$M203))</f>
        <v>0</v>
      </c>
      <c r="AV203" s="188">
        <v>0</v>
      </c>
      <c r="AW203" s="196">
        <v>0</v>
      </c>
      <c r="AX203" s="182"/>
      <c r="AY203" s="196">
        <f t="shared" ref="AY203:AY208" si="812">(AX203*$E203*$F203*((1-$K203)+$K203*$G203*AY$12*$M203))</f>
        <v>0</v>
      </c>
      <c r="AZ203" s="182"/>
      <c r="BA203" s="182"/>
      <c r="BB203" s="182">
        <v>0</v>
      </c>
      <c r="BC203" s="182"/>
      <c r="BD203" s="182"/>
      <c r="BE203" s="182"/>
      <c r="BF203" s="182"/>
      <c r="BG203" s="182"/>
      <c r="BH203" s="182"/>
      <c r="BI203" s="182"/>
      <c r="BJ203" s="182"/>
      <c r="BK203" s="182"/>
      <c r="BL203" s="182"/>
      <c r="BM203" s="182"/>
      <c r="BN203" s="182"/>
      <c r="BO203" s="182"/>
      <c r="BP203" s="182"/>
      <c r="BQ203" s="182"/>
      <c r="BR203" s="182"/>
      <c r="BS203" s="182"/>
      <c r="BT203" s="182"/>
      <c r="BU203" s="182"/>
      <c r="BV203" s="182"/>
      <c r="BW203" s="182"/>
      <c r="BX203" s="182"/>
      <c r="BY203" s="182"/>
      <c r="BZ203" s="182"/>
      <c r="CA203" s="187"/>
      <c r="CB203" s="182"/>
      <c r="CC203" s="182"/>
      <c r="CD203" s="182"/>
      <c r="CE203" s="182"/>
      <c r="CF203" s="182"/>
      <c r="CG203" s="182"/>
      <c r="CH203" s="182"/>
      <c r="CI203" s="182"/>
      <c r="CJ203" s="182"/>
      <c r="CK203" s="182"/>
      <c r="CL203" s="182"/>
      <c r="CM203" s="182"/>
      <c r="CN203" s="182"/>
      <c r="CO203" s="182"/>
      <c r="CP203" s="182"/>
      <c r="CQ203" s="182"/>
      <c r="CR203" s="182"/>
      <c r="CS203" s="182"/>
      <c r="CT203" s="182"/>
      <c r="CU203" s="182"/>
      <c r="CV203" s="182"/>
      <c r="CW203" s="182">
        <v>0</v>
      </c>
      <c r="CX203" s="182"/>
      <c r="CY203" s="182"/>
      <c r="CZ203" s="182"/>
      <c r="DA203" s="182">
        <v>0</v>
      </c>
      <c r="DB203" s="188"/>
      <c r="DC203" s="182"/>
      <c r="DD203" s="182"/>
      <c r="DE203" s="187"/>
      <c r="DF203" s="182"/>
      <c r="DG203" s="182"/>
      <c r="DH203" s="189"/>
      <c r="DI203" s="182"/>
      <c r="DJ203" s="182"/>
      <c r="DK203" s="196">
        <f t="shared" ref="DK203:DK208" si="813">(DJ203*$E203*$F203*((1-$K203)+$K203*$G203*DK$12*$M203))</f>
        <v>0</v>
      </c>
      <c r="DL203" s="182"/>
      <c r="DM203" s="182"/>
      <c r="DN203" s="182"/>
      <c r="DO203" s="187"/>
      <c r="DP203" s="187"/>
      <c r="DQ203" s="187"/>
      <c r="DR203" s="183">
        <f t="shared" si="799"/>
        <v>0</v>
      </c>
      <c r="DS203" s="183">
        <f t="shared" si="799"/>
        <v>0</v>
      </c>
      <c r="DT203" s="182">
        <v>0</v>
      </c>
      <c r="DU203" s="182">
        <v>0</v>
      </c>
      <c r="DV203" s="167">
        <f t="shared" si="626"/>
        <v>0</v>
      </c>
      <c r="DW203" s="167">
        <f t="shared" si="626"/>
        <v>0</v>
      </c>
    </row>
    <row r="204" spans="1:127" ht="30" customHeight="1" x14ac:dyDescent="0.25">
      <c r="A204" s="154"/>
      <c r="B204" s="176">
        <v>170</v>
      </c>
      <c r="C204" s="208" t="s">
        <v>493</v>
      </c>
      <c r="D204" s="178" t="s">
        <v>494</v>
      </c>
      <c r="E204" s="158">
        <v>25969</v>
      </c>
      <c r="F204" s="201">
        <v>4.37</v>
      </c>
      <c r="G204" s="168">
        <v>1</v>
      </c>
      <c r="H204" s="169"/>
      <c r="I204" s="169"/>
      <c r="J204" s="169"/>
      <c r="K204" s="195">
        <v>0.88839999999999997</v>
      </c>
      <c r="L204" s="255">
        <v>1.4</v>
      </c>
      <c r="M204" s="255">
        <v>1.68</v>
      </c>
      <c r="N204" s="255">
        <v>2.23</v>
      </c>
      <c r="O204" s="256">
        <v>2.57</v>
      </c>
      <c r="P204" s="182">
        <v>0</v>
      </c>
      <c r="Q204" s="196">
        <f t="shared" si="802"/>
        <v>0</v>
      </c>
      <c r="R204" s="196"/>
      <c r="S204" s="196">
        <f t="shared" si="803"/>
        <v>0</v>
      </c>
      <c r="T204" s="196"/>
      <c r="U204" s="196">
        <f t="shared" si="804"/>
        <v>0</v>
      </c>
      <c r="V204" s="182"/>
      <c r="W204" s="196">
        <f t="shared" si="805"/>
        <v>0</v>
      </c>
      <c r="X204" s="196">
        <v>67</v>
      </c>
      <c r="Y204" s="196">
        <v>14088183.812992638</v>
      </c>
      <c r="Z204" s="196">
        <v>0</v>
      </c>
      <c r="AA204" s="196">
        <v>0</v>
      </c>
      <c r="AB204" s="182">
        <f t="shared" si="801"/>
        <v>67</v>
      </c>
      <c r="AC204" s="182">
        <f t="shared" si="801"/>
        <v>14088183.812992638</v>
      </c>
      <c r="AD204" s="182"/>
      <c r="AE204" s="196">
        <f t="shared" si="806"/>
        <v>0</v>
      </c>
      <c r="AF204" s="182"/>
      <c r="AG204" s="182"/>
      <c r="AH204" s="182"/>
      <c r="AI204" s="196">
        <f t="shared" si="807"/>
        <v>0</v>
      </c>
      <c r="AJ204" s="196"/>
      <c r="AK204" s="196"/>
      <c r="AL204" s="182"/>
      <c r="AM204" s="182"/>
      <c r="AN204" s="205"/>
      <c r="AO204" s="196">
        <f t="shared" si="808"/>
        <v>0</v>
      </c>
      <c r="AP204" s="182"/>
      <c r="AQ204" s="196">
        <f t="shared" si="809"/>
        <v>0</v>
      </c>
      <c r="AR204" s="182"/>
      <c r="AS204" s="196">
        <f t="shared" si="810"/>
        <v>0</v>
      </c>
      <c r="AT204" s="182"/>
      <c r="AU204" s="196">
        <f t="shared" si="811"/>
        <v>0</v>
      </c>
      <c r="AV204" s="188">
        <v>0</v>
      </c>
      <c r="AW204" s="196">
        <v>0</v>
      </c>
      <c r="AX204" s="182"/>
      <c r="AY204" s="196">
        <f t="shared" si="812"/>
        <v>0</v>
      </c>
      <c r="AZ204" s="182"/>
      <c r="BA204" s="182"/>
      <c r="BB204" s="182">
        <v>0</v>
      </c>
      <c r="BC204" s="182"/>
      <c r="BD204" s="182"/>
      <c r="BE204" s="182"/>
      <c r="BF204" s="182"/>
      <c r="BG204" s="182"/>
      <c r="BH204" s="182"/>
      <c r="BI204" s="182"/>
      <c r="BJ204" s="182"/>
      <c r="BK204" s="182"/>
      <c r="BL204" s="182"/>
      <c r="BM204" s="182"/>
      <c r="BN204" s="182"/>
      <c r="BO204" s="182"/>
      <c r="BP204" s="182"/>
      <c r="BQ204" s="182"/>
      <c r="BR204" s="182"/>
      <c r="BS204" s="182"/>
      <c r="BT204" s="182"/>
      <c r="BU204" s="182"/>
      <c r="BV204" s="182"/>
      <c r="BW204" s="182"/>
      <c r="BX204" s="182"/>
      <c r="BY204" s="182"/>
      <c r="BZ204" s="182"/>
      <c r="CA204" s="187"/>
      <c r="CB204" s="182"/>
      <c r="CC204" s="182"/>
      <c r="CD204" s="182"/>
      <c r="CE204" s="182"/>
      <c r="CF204" s="182"/>
      <c r="CG204" s="182"/>
      <c r="CH204" s="182"/>
      <c r="CI204" s="182"/>
      <c r="CJ204" s="182"/>
      <c r="CK204" s="182"/>
      <c r="CL204" s="182"/>
      <c r="CM204" s="182"/>
      <c r="CN204" s="182"/>
      <c r="CO204" s="182"/>
      <c r="CP204" s="182"/>
      <c r="CQ204" s="182"/>
      <c r="CR204" s="182"/>
      <c r="CS204" s="182"/>
      <c r="CT204" s="182"/>
      <c r="CU204" s="182"/>
      <c r="CV204" s="182"/>
      <c r="CW204" s="182">
        <v>0</v>
      </c>
      <c r="CX204" s="182"/>
      <c r="CY204" s="182"/>
      <c r="CZ204" s="182"/>
      <c r="DA204" s="182">
        <v>0</v>
      </c>
      <c r="DB204" s="188"/>
      <c r="DC204" s="182"/>
      <c r="DD204" s="182"/>
      <c r="DE204" s="187"/>
      <c r="DF204" s="182"/>
      <c r="DG204" s="182"/>
      <c r="DH204" s="189"/>
      <c r="DI204" s="182"/>
      <c r="DJ204" s="182"/>
      <c r="DK204" s="196">
        <f t="shared" si="813"/>
        <v>0</v>
      </c>
      <c r="DL204" s="182"/>
      <c r="DM204" s="182"/>
      <c r="DN204" s="182"/>
      <c r="DO204" s="187"/>
      <c r="DP204" s="187"/>
      <c r="DQ204" s="187"/>
      <c r="DR204" s="183">
        <f t="shared" si="799"/>
        <v>67</v>
      </c>
      <c r="DS204" s="183">
        <f t="shared" si="799"/>
        <v>14088183.812992638</v>
      </c>
      <c r="DT204" s="182">
        <v>67</v>
      </c>
      <c r="DU204" s="182">
        <v>14088183.812992638</v>
      </c>
      <c r="DV204" s="167">
        <f t="shared" si="626"/>
        <v>0</v>
      </c>
      <c r="DW204" s="167">
        <f t="shared" si="626"/>
        <v>0</v>
      </c>
    </row>
    <row r="205" spans="1:127" ht="30" customHeight="1" x14ac:dyDescent="0.25">
      <c r="A205" s="154"/>
      <c r="B205" s="176">
        <v>171</v>
      </c>
      <c r="C205" s="208" t="s">
        <v>495</v>
      </c>
      <c r="D205" s="178" t="s">
        <v>496</v>
      </c>
      <c r="E205" s="158">
        <v>25969</v>
      </c>
      <c r="F205" s="201">
        <v>5.85</v>
      </c>
      <c r="G205" s="168">
        <v>1</v>
      </c>
      <c r="H205" s="169"/>
      <c r="I205" s="169"/>
      <c r="J205" s="169"/>
      <c r="K205" s="195">
        <v>0.87050000000000005</v>
      </c>
      <c r="L205" s="255">
        <v>1.4</v>
      </c>
      <c r="M205" s="255">
        <v>1.68</v>
      </c>
      <c r="N205" s="255">
        <v>2.23</v>
      </c>
      <c r="O205" s="256">
        <v>2.57</v>
      </c>
      <c r="P205" s="182">
        <v>0</v>
      </c>
      <c r="Q205" s="196">
        <f t="shared" si="802"/>
        <v>0</v>
      </c>
      <c r="R205" s="196"/>
      <c r="S205" s="196">
        <f t="shared" si="803"/>
        <v>0</v>
      </c>
      <c r="T205" s="196"/>
      <c r="U205" s="196">
        <f t="shared" si="804"/>
        <v>0</v>
      </c>
      <c r="V205" s="182"/>
      <c r="W205" s="196">
        <f t="shared" si="805"/>
        <v>0</v>
      </c>
      <c r="X205" s="196"/>
      <c r="Y205" s="196">
        <v>0</v>
      </c>
      <c r="Z205" s="196">
        <v>0</v>
      </c>
      <c r="AA205" s="196">
        <v>0</v>
      </c>
      <c r="AB205" s="182">
        <f t="shared" si="801"/>
        <v>0</v>
      </c>
      <c r="AC205" s="182">
        <f t="shared" si="801"/>
        <v>0</v>
      </c>
      <c r="AD205" s="182"/>
      <c r="AE205" s="196">
        <f t="shared" si="806"/>
        <v>0</v>
      </c>
      <c r="AF205" s="182"/>
      <c r="AG205" s="182"/>
      <c r="AH205" s="182"/>
      <c r="AI205" s="196">
        <f t="shared" si="807"/>
        <v>0</v>
      </c>
      <c r="AJ205" s="196"/>
      <c r="AK205" s="196"/>
      <c r="AL205" s="182"/>
      <c r="AM205" s="182"/>
      <c r="AN205" s="205"/>
      <c r="AO205" s="196">
        <f t="shared" si="808"/>
        <v>0</v>
      </c>
      <c r="AP205" s="182"/>
      <c r="AQ205" s="196">
        <f t="shared" si="809"/>
        <v>0</v>
      </c>
      <c r="AR205" s="182"/>
      <c r="AS205" s="196">
        <f t="shared" si="810"/>
        <v>0</v>
      </c>
      <c r="AT205" s="182"/>
      <c r="AU205" s="196">
        <f t="shared" si="811"/>
        <v>0</v>
      </c>
      <c r="AV205" s="188">
        <v>0</v>
      </c>
      <c r="AW205" s="196">
        <v>0</v>
      </c>
      <c r="AX205" s="182"/>
      <c r="AY205" s="196">
        <f t="shared" si="812"/>
        <v>0</v>
      </c>
      <c r="AZ205" s="182"/>
      <c r="BA205" s="182"/>
      <c r="BB205" s="182">
        <v>0</v>
      </c>
      <c r="BC205" s="182"/>
      <c r="BD205" s="182"/>
      <c r="BE205" s="182"/>
      <c r="BF205" s="182"/>
      <c r="BG205" s="182"/>
      <c r="BH205" s="182"/>
      <c r="BI205" s="182"/>
      <c r="BJ205" s="182"/>
      <c r="BK205" s="182"/>
      <c r="BL205" s="182"/>
      <c r="BM205" s="182"/>
      <c r="BN205" s="182"/>
      <c r="BO205" s="182"/>
      <c r="BP205" s="182"/>
      <c r="BQ205" s="182"/>
      <c r="BR205" s="182"/>
      <c r="BS205" s="182"/>
      <c r="BT205" s="182"/>
      <c r="BU205" s="182"/>
      <c r="BV205" s="182"/>
      <c r="BW205" s="182"/>
      <c r="BX205" s="182"/>
      <c r="BY205" s="182"/>
      <c r="BZ205" s="182"/>
      <c r="CA205" s="187"/>
      <c r="CB205" s="182"/>
      <c r="CC205" s="182"/>
      <c r="CD205" s="182"/>
      <c r="CE205" s="182"/>
      <c r="CF205" s="182"/>
      <c r="CG205" s="182"/>
      <c r="CH205" s="182"/>
      <c r="CI205" s="182"/>
      <c r="CJ205" s="182"/>
      <c r="CK205" s="182"/>
      <c r="CL205" s="182"/>
      <c r="CM205" s="182"/>
      <c r="CN205" s="182"/>
      <c r="CO205" s="182"/>
      <c r="CP205" s="182"/>
      <c r="CQ205" s="182"/>
      <c r="CR205" s="182"/>
      <c r="CS205" s="182"/>
      <c r="CT205" s="182"/>
      <c r="CU205" s="182"/>
      <c r="CV205" s="182"/>
      <c r="CW205" s="182">
        <v>0</v>
      </c>
      <c r="CX205" s="182"/>
      <c r="CY205" s="182"/>
      <c r="CZ205" s="182"/>
      <c r="DA205" s="182">
        <v>0</v>
      </c>
      <c r="DB205" s="188"/>
      <c r="DC205" s="182"/>
      <c r="DD205" s="182"/>
      <c r="DE205" s="187"/>
      <c r="DF205" s="182"/>
      <c r="DG205" s="182"/>
      <c r="DH205" s="189"/>
      <c r="DI205" s="182"/>
      <c r="DJ205" s="182"/>
      <c r="DK205" s="196">
        <f t="shared" si="813"/>
        <v>0</v>
      </c>
      <c r="DL205" s="182"/>
      <c r="DM205" s="182"/>
      <c r="DN205" s="182"/>
      <c r="DO205" s="187"/>
      <c r="DP205" s="187"/>
      <c r="DQ205" s="187"/>
      <c r="DR205" s="183">
        <f t="shared" si="799"/>
        <v>0</v>
      </c>
      <c r="DS205" s="183">
        <f t="shared" si="799"/>
        <v>0</v>
      </c>
      <c r="DT205" s="182">
        <v>0</v>
      </c>
      <c r="DU205" s="182">
        <v>0</v>
      </c>
      <c r="DV205" s="167">
        <f t="shared" si="626"/>
        <v>0</v>
      </c>
      <c r="DW205" s="167">
        <f t="shared" si="626"/>
        <v>0</v>
      </c>
    </row>
    <row r="206" spans="1:127" ht="30" customHeight="1" x14ac:dyDescent="0.25">
      <c r="A206" s="154"/>
      <c r="B206" s="176">
        <v>172</v>
      </c>
      <c r="C206" s="208" t="s">
        <v>497</v>
      </c>
      <c r="D206" s="178" t="s">
        <v>498</v>
      </c>
      <c r="E206" s="158">
        <v>25969</v>
      </c>
      <c r="F206" s="201">
        <v>6.57</v>
      </c>
      <c r="G206" s="168">
        <v>1</v>
      </c>
      <c r="H206" s="169"/>
      <c r="I206" s="169"/>
      <c r="J206" s="169"/>
      <c r="K206" s="195">
        <v>0.88490000000000002</v>
      </c>
      <c r="L206" s="255">
        <v>1.4</v>
      </c>
      <c r="M206" s="255">
        <v>1.68</v>
      </c>
      <c r="N206" s="255">
        <v>2.23</v>
      </c>
      <c r="O206" s="256">
        <v>2.57</v>
      </c>
      <c r="P206" s="182">
        <v>0</v>
      </c>
      <c r="Q206" s="196">
        <f t="shared" si="802"/>
        <v>0</v>
      </c>
      <c r="R206" s="196"/>
      <c r="S206" s="196">
        <f t="shared" si="803"/>
        <v>0</v>
      </c>
      <c r="T206" s="196"/>
      <c r="U206" s="196">
        <f t="shared" si="804"/>
        <v>0</v>
      </c>
      <c r="V206" s="182"/>
      <c r="W206" s="196">
        <f t="shared" si="805"/>
        <v>0</v>
      </c>
      <c r="X206" s="196">
        <v>38</v>
      </c>
      <c r="Y206" s="196">
        <v>11991112.222412158</v>
      </c>
      <c r="Z206" s="196">
        <v>0</v>
      </c>
      <c r="AA206" s="196">
        <v>0</v>
      </c>
      <c r="AB206" s="182">
        <f t="shared" si="801"/>
        <v>38</v>
      </c>
      <c r="AC206" s="182">
        <f t="shared" si="801"/>
        <v>11991112.222412158</v>
      </c>
      <c r="AD206" s="182"/>
      <c r="AE206" s="196">
        <f t="shared" si="806"/>
        <v>0</v>
      </c>
      <c r="AF206" s="182"/>
      <c r="AG206" s="182"/>
      <c r="AH206" s="182"/>
      <c r="AI206" s="196">
        <f t="shared" si="807"/>
        <v>0</v>
      </c>
      <c r="AJ206" s="196"/>
      <c r="AK206" s="196"/>
      <c r="AL206" s="182"/>
      <c r="AM206" s="182"/>
      <c r="AN206" s="205"/>
      <c r="AO206" s="196">
        <f t="shared" si="808"/>
        <v>0</v>
      </c>
      <c r="AP206" s="182"/>
      <c r="AQ206" s="196">
        <f t="shared" si="809"/>
        <v>0</v>
      </c>
      <c r="AR206" s="182"/>
      <c r="AS206" s="196">
        <f t="shared" si="810"/>
        <v>0</v>
      </c>
      <c r="AT206" s="182"/>
      <c r="AU206" s="196">
        <f t="shared" si="811"/>
        <v>0</v>
      </c>
      <c r="AV206" s="188">
        <v>0</v>
      </c>
      <c r="AW206" s="196">
        <v>0</v>
      </c>
      <c r="AX206" s="182"/>
      <c r="AY206" s="196">
        <f t="shared" si="812"/>
        <v>0</v>
      </c>
      <c r="AZ206" s="182"/>
      <c r="BA206" s="182"/>
      <c r="BB206" s="182">
        <v>0</v>
      </c>
      <c r="BC206" s="182"/>
      <c r="BD206" s="182"/>
      <c r="BE206" s="182"/>
      <c r="BF206" s="182"/>
      <c r="BG206" s="182"/>
      <c r="BH206" s="182"/>
      <c r="BI206" s="182"/>
      <c r="BJ206" s="182"/>
      <c r="BK206" s="182"/>
      <c r="BL206" s="182"/>
      <c r="BM206" s="182"/>
      <c r="BN206" s="182"/>
      <c r="BO206" s="182"/>
      <c r="BP206" s="182"/>
      <c r="BQ206" s="182"/>
      <c r="BR206" s="182"/>
      <c r="BS206" s="182"/>
      <c r="BT206" s="182"/>
      <c r="BU206" s="182"/>
      <c r="BV206" s="182"/>
      <c r="BW206" s="182"/>
      <c r="BX206" s="182"/>
      <c r="BY206" s="182"/>
      <c r="BZ206" s="182"/>
      <c r="CA206" s="187"/>
      <c r="CB206" s="182"/>
      <c r="CC206" s="182"/>
      <c r="CD206" s="182"/>
      <c r="CE206" s="182"/>
      <c r="CF206" s="182"/>
      <c r="CG206" s="182"/>
      <c r="CH206" s="182"/>
      <c r="CI206" s="182"/>
      <c r="CJ206" s="182"/>
      <c r="CK206" s="182"/>
      <c r="CL206" s="182"/>
      <c r="CM206" s="182"/>
      <c r="CN206" s="182"/>
      <c r="CO206" s="182"/>
      <c r="CP206" s="182"/>
      <c r="CQ206" s="182"/>
      <c r="CR206" s="182"/>
      <c r="CS206" s="182"/>
      <c r="CT206" s="182"/>
      <c r="CU206" s="182"/>
      <c r="CV206" s="182"/>
      <c r="CW206" s="182">
        <v>0</v>
      </c>
      <c r="CX206" s="182"/>
      <c r="CY206" s="182"/>
      <c r="CZ206" s="182"/>
      <c r="DA206" s="182">
        <v>0</v>
      </c>
      <c r="DB206" s="188"/>
      <c r="DC206" s="182"/>
      <c r="DD206" s="182"/>
      <c r="DE206" s="187"/>
      <c r="DF206" s="182"/>
      <c r="DG206" s="182"/>
      <c r="DH206" s="189"/>
      <c r="DI206" s="182"/>
      <c r="DJ206" s="182"/>
      <c r="DK206" s="196">
        <f t="shared" si="813"/>
        <v>0</v>
      </c>
      <c r="DL206" s="182"/>
      <c r="DM206" s="182"/>
      <c r="DN206" s="182"/>
      <c r="DO206" s="187"/>
      <c r="DP206" s="187"/>
      <c r="DQ206" s="187"/>
      <c r="DR206" s="183">
        <f t="shared" si="799"/>
        <v>38</v>
      </c>
      <c r="DS206" s="183">
        <f t="shared" si="799"/>
        <v>11991112.222412158</v>
      </c>
      <c r="DT206" s="182">
        <v>38</v>
      </c>
      <c r="DU206" s="182">
        <v>11991112.222412158</v>
      </c>
      <c r="DV206" s="167">
        <f t="shared" si="626"/>
        <v>0</v>
      </c>
      <c r="DW206" s="167">
        <f t="shared" si="626"/>
        <v>0</v>
      </c>
    </row>
    <row r="207" spans="1:127" ht="30" customHeight="1" x14ac:dyDescent="0.25">
      <c r="A207" s="154"/>
      <c r="B207" s="176">
        <v>173</v>
      </c>
      <c r="C207" s="208" t="s">
        <v>499</v>
      </c>
      <c r="D207" s="178" t="s">
        <v>500</v>
      </c>
      <c r="E207" s="158">
        <v>25969</v>
      </c>
      <c r="F207" s="169">
        <v>9.49</v>
      </c>
      <c r="G207" s="168">
        <v>1</v>
      </c>
      <c r="H207" s="169"/>
      <c r="I207" s="169"/>
      <c r="J207" s="169"/>
      <c r="K207" s="195">
        <v>0.46029999999999999</v>
      </c>
      <c r="L207" s="255">
        <v>1.4</v>
      </c>
      <c r="M207" s="255">
        <v>1.68</v>
      </c>
      <c r="N207" s="255">
        <v>2.23</v>
      </c>
      <c r="O207" s="256">
        <v>2.57</v>
      </c>
      <c r="P207" s="182">
        <v>0</v>
      </c>
      <c r="Q207" s="196">
        <f t="shared" si="802"/>
        <v>0</v>
      </c>
      <c r="R207" s="196"/>
      <c r="S207" s="196">
        <f t="shared" si="803"/>
        <v>0</v>
      </c>
      <c r="T207" s="196"/>
      <c r="U207" s="196">
        <f t="shared" si="804"/>
        <v>0</v>
      </c>
      <c r="V207" s="182"/>
      <c r="W207" s="196">
        <f t="shared" si="805"/>
        <v>0</v>
      </c>
      <c r="X207" s="196">
        <v>9</v>
      </c>
      <c r="Y207" s="196">
        <v>3198125.30480352</v>
      </c>
      <c r="Z207" s="196">
        <v>0</v>
      </c>
      <c r="AA207" s="196">
        <v>0</v>
      </c>
      <c r="AB207" s="182">
        <f t="shared" si="801"/>
        <v>9</v>
      </c>
      <c r="AC207" s="182">
        <f t="shared" si="801"/>
        <v>3198125.30480352</v>
      </c>
      <c r="AD207" s="182"/>
      <c r="AE207" s="196">
        <f t="shared" si="806"/>
        <v>0</v>
      </c>
      <c r="AF207" s="182"/>
      <c r="AG207" s="182"/>
      <c r="AH207" s="182"/>
      <c r="AI207" s="196">
        <f t="shared" si="807"/>
        <v>0</v>
      </c>
      <c r="AJ207" s="196"/>
      <c r="AK207" s="196"/>
      <c r="AL207" s="182"/>
      <c r="AM207" s="182"/>
      <c r="AN207" s="205"/>
      <c r="AO207" s="196">
        <f t="shared" si="808"/>
        <v>0</v>
      </c>
      <c r="AP207" s="182"/>
      <c r="AQ207" s="196">
        <f t="shared" si="809"/>
        <v>0</v>
      </c>
      <c r="AR207" s="182"/>
      <c r="AS207" s="196">
        <f t="shared" si="810"/>
        <v>0</v>
      </c>
      <c r="AT207" s="182"/>
      <c r="AU207" s="196">
        <f t="shared" si="811"/>
        <v>0</v>
      </c>
      <c r="AV207" s="188">
        <v>0</v>
      </c>
      <c r="AW207" s="196">
        <v>0</v>
      </c>
      <c r="AX207" s="182"/>
      <c r="AY207" s="196">
        <f t="shared" si="812"/>
        <v>0</v>
      </c>
      <c r="AZ207" s="182"/>
      <c r="BA207" s="182"/>
      <c r="BB207" s="182">
        <v>0</v>
      </c>
      <c r="BC207" s="182"/>
      <c r="BD207" s="182"/>
      <c r="BE207" s="182"/>
      <c r="BF207" s="182"/>
      <c r="BG207" s="182"/>
      <c r="BH207" s="182"/>
      <c r="BI207" s="182"/>
      <c r="BJ207" s="182"/>
      <c r="BK207" s="182"/>
      <c r="BL207" s="182"/>
      <c r="BM207" s="182"/>
      <c r="BN207" s="182"/>
      <c r="BO207" s="182"/>
      <c r="BP207" s="182"/>
      <c r="BQ207" s="182"/>
      <c r="BR207" s="182"/>
      <c r="BS207" s="182"/>
      <c r="BT207" s="182"/>
      <c r="BU207" s="182"/>
      <c r="BV207" s="182"/>
      <c r="BW207" s="182"/>
      <c r="BX207" s="182"/>
      <c r="BY207" s="182"/>
      <c r="BZ207" s="182"/>
      <c r="CA207" s="187"/>
      <c r="CB207" s="182"/>
      <c r="CC207" s="182"/>
      <c r="CD207" s="182"/>
      <c r="CE207" s="182"/>
      <c r="CF207" s="182"/>
      <c r="CG207" s="182"/>
      <c r="CH207" s="182"/>
      <c r="CI207" s="182"/>
      <c r="CJ207" s="182"/>
      <c r="CK207" s="182"/>
      <c r="CL207" s="182"/>
      <c r="CM207" s="182"/>
      <c r="CN207" s="182"/>
      <c r="CO207" s="182"/>
      <c r="CP207" s="182"/>
      <c r="CQ207" s="182"/>
      <c r="CR207" s="182"/>
      <c r="CS207" s="182"/>
      <c r="CT207" s="182"/>
      <c r="CU207" s="182"/>
      <c r="CV207" s="182"/>
      <c r="CW207" s="182">
        <v>0</v>
      </c>
      <c r="CX207" s="182"/>
      <c r="CY207" s="182"/>
      <c r="CZ207" s="182"/>
      <c r="DA207" s="182">
        <v>0</v>
      </c>
      <c r="DB207" s="188"/>
      <c r="DC207" s="182"/>
      <c r="DD207" s="182"/>
      <c r="DE207" s="187"/>
      <c r="DF207" s="182"/>
      <c r="DG207" s="182"/>
      <c r="DH207" s="189"/>
      <c r="DI207" s="182"/>
      <c r="DJ207" s="182"/>
      <c r="DK207" s="196">
        <f t="shared" si="813"/>
        <v>0</v>
      </c>
      <c r="DL207" s="182"/>
      <c r="DM207" s="182"/>
      <c r="DN207" s="182"/>
      <c r="DO207" s="187"/>
      <c r="DP207" s="187"/>
      <c r="DQ207" s="187"/>
      <c r="DR207" s="183">
        <f t="shared" si="799"/>
        <v>9</v>
      </c>
      <c r="DS207" s="183">
        <f t="shared" si="799"/>
        <v>3198125.30480352</v>
      </c>
      <c r="DT207" s="182">
        <v>9</v>
      </c>
      <c r="DU207" s="182">
        <v>3198125.30480352</v>
      </c>
      <c r="DV207" s="167">
        <f t="shared" si="626"/>
        <v>0</v>
      </c>
      <c r="DW207" s="167">
        <f t="shared" si="626"/>
        <v>0</v>
      </c>
    </row>
    <row r="208" spans="1:127" ht="30" customHeight="1" x14ac:dyDescent="0.25">
      <c r="A208" s="154"/>
      <c r="B208" s="176">
        <v>174</v>
      </c>
      <c r="C208" s="208" t="s">
        <v>501</v>
      </c>
      <c r="D208" s="178" t="s">
        <v>502</v>
      </c>
      <c r="E208" s="158">
        <v>25969</v>
      </c>
      <c r="F208" s="201">
        <v>16.32</v>
      </c>
      <c r="G208" s="168">
        <v>1</v>
      </c>
      <c r="H208" s="169"/>
      <c r="I208" s="169"/>
      <c r="J208" s="169"/>
      <c r="K208" s="195">
        <v>0.2676</v>
      </c>
      <c r="L208" s="255">
        <v>1.4</v>
      </c>
      <c r="M208" s="255">
        <v>1.68</v>
      </c>
      <c r="N208" s="255">
        <v>2.23</v>
      </c>
      <c r="O208" s="256">
        <v>2.57</v>
      </c>
      <c r="P208" s="182">
        <v>0</v>
      </c>
      <c r="Q208" s="196">
        <f t="shared" si="802"/>
        <v>0</v>
      </c>
      <c r="R208" s="196"/>
      <c r="S208" s="196">
        <f t="shared" si="803"/>
        <v>0</v>
      </c>
      <c r="T208" s="196"/>
      <c r="U208" s="196">
        <f t="shared" si="804"/>
        <v>0</v>
      </c>
      <c r="V208" s="182"/>
      <c r="W208" s="196">
        <f t="shared" si="805"/>
        <v>0</v>
      </c>
      <c r="X208" s="196">
        <v>7</v>
      </c>
      <c r="Y208" s="196">
        <v>3728831.5532697593</v>
      </c>
      <c r="Z208" s="196">
        <v>0</v>
      </c>
      <c r="AA208" s="196">
        <v>0</v>
      </c>
      <c r="AB208" s="182">
        <f t="shared" si="801"/>
        <v>7</v>
      </c>
      <c r="AC208" s="182">
        <f t="shared" si="801"/>
        <v>3728831.5532697593</v>
      </c>
      <c r="AD208" s="182"/>
      <c r="AE208" s="196">
        <f t="shared" si="806"/>
        <v>0</v>
      </c>
      <c r="AF208" s="182"/>
      <c r="AG208" s="182"/>
      <c r="AH208" s="182"/>
      <c r="AI208" s="196">
        <f t="shared" si="807"/>
        <v>0</v>
      </c>
      <c r="AJ208" s="196"/>
      <c r="AK208" s="196"/>
      <c r="AL208" s="182"/>
      <c r="AM208" s="182"/>
      <c r="AN208" s="205"/>
      <c r="AO208" s="196">
        <f t="shared" si="808"/>
        <v>0</v>
      </c>
      <c r="AP208" s="182"/>
      <c r="AQ208" s="196">
        <f t="shared" si="809"/>
        <v>0</v>
      </c>
      <c r="AR208" s="182"/>
      <c r="AS208" s="196">
        <f t="shared" si="810"/>
        <v>0</v>
      </c>
      <c r="AT208" s="182"/>
      <c r="AU208" s="196">
        <f t="shared" si="811"/>
        <v>0</v>
      </c>
      <c r="AV208" s="188">
        <v>0</v>
      </c>
      <c r="AW208" s="196">
        <v>0</v>
      </c>
      <c r="AX208" s="182"/>
      <c r="AY208" s="196">
        <f t="shared" si="812"/>
        <v>0</v>
      </c>
      <c r="AZ208" s="182"/>
      <c r="BA208" s="182"/>
      <c r="BB208" s="182">
        <v>0</v>
      </c>
      <c r="BC208" s="182"/>
      <c r="BD208" s="182"/>
      <c r="BE208" s="182"/>
      <c r="BF208" s="182"/>
      <c r="BG208" s="182"/>
      <c r="BH208" s="182"/>
      <c r="BI208" s="182"/>
      <c r="BJ208" s="182"/>
      <c r="BK208" s="182"/>
      <c r="BL208" s="182"/>
      <c r="BM208" s="182"/>
      <c r="BN208" s="182"/>
      <c r="BO208" s="182"/>
      <c r="BP208" s="182"/>
      <c r="BQ208" s="182"/>
      <c r="BR208" s="182"/>
      <c r="BS208" s="182"/>
      <c r="BT208" s="182"/>
      <c r="BU208" s="182"/>
      <c r="BV208" s="182"/>
      <c r="BW208" s="182"/>
      <c r="BX208" s="182"/>
      <c r="BY208" s="182"/>
      <c r="BZ208" s="182"/>
      <c r="CA208" s="187"/>
      <c r="CB208" s="182"/>
      <c r="CC208" s="182"/>
      <c r="CD208" s="182"/>
      <c r="CE208" s="182"/>
      <c r="CF208" s="182"/>
      <c r="CG208" s="182"/>
      <c r="CH208" s="182"/>
      <c r="CI208" s="182"/>
      <c r="CJ208" s="182"/>
      <c r="CK208" s="182"/>
      <c r="CL208" s="182"/>
      <c r="CM208" s="182"/>
      <c r="CN208" s="182"/>
      <c r="CO208" s="182"/>
      <c r="CP208" s="182"/>
      <c r="CQ208" s="182"/>
      <c r="CR208" s="182"/>
      <c r="CS208" s="182"/>
      <c r="CT208" s="182"/>
      <c r="CU208" s="182"/>
      <c r="CV208" s="182"/>
      <c r="CW208" s="182">
        <v>0</v>
      </c>
      <c r="CX208" s="182"/>
      <c r="CY208" s="182"/>
      <c r="CZ208" s="182"/>
      <c r="DA208" s="182">
        <v>0</v>
      </c>
      <c r="DB208" s="188"/>
      <c r="DC208" s="182"/>
      <c r="DD208" s="182"/>
      <c r="DE208" s="187"/>
      <c r="DF208" s="182"/>
      <c r="DG208" s="182"/>
      <c r="DH208" s="189"/>
      <c r="DI208" s="182"/>
      <c r="DJ208" s="182"/>
      <c r="DK208" s="196">
        <f t="shared" si="813"/>
        <v>0</v>
      </c>
      <c r="DL208" s="182"/>
      <c r="DM208" s="182"/>
      <c r="DN208" s="182"/>
      <c r="DO208" s="187"/>
      <c r="DP208" s="187"/>
      <c r="DQ208" s="187"/>
      <c r="DR208" s="183">
        <f t="shared" si="799"/>
        <v>7</v>
      </c>
      <c r="DS208" s="183">
        <f t="shared" si="799"/>
        <v>3728831.5532697593</v>
      </c>
      <c r="DT208" s="182">
        <v>7</v>
      </c>
      <c r="DU208" s="182">
        <v>3728831.5532697593</v>
      </c>
      <c r="DV208" s="167">
        <f t="shared" si="626"/>
        <v>0</v>
      </c>
      <c r="DW208" s="167">
        <f t="shared" si="626"/>
        <v>0</v>
      </c>
    </row>
    <row r="209" spans="1:127" ht="45" x14ac:dyDescent="0.25">
      <c r="A209" s="154"/>
      <c r="B209" s="176">
        <v>175</v>
      </c>
      <c r="C209" s="208" t="s">
        <v>503</v>
      </c>
      <c r="D209" s="178" t="s">
        <v>504</v>
      </c>
      <c r="E209" s="158">
        <v>25969</v>
      </c>
      <c r="F209" s="257">
        <v>0.42</v>
      </c>
      <c r="G209" s="168">
        <v>1</v>
      </c>
      <c r="H209" s="169"/>
      <c r="I209" s="169"/>
      <c r="J209" s="169"/>
      <c r="K209" s="106"/>
      <c r="L209" s="255">
        <v>1.4</v>
      </c>
      <c r="M209" s="255">
        <v>1.68</v>
      </c>
      <c r="N209" s="255">
        <v>2.23</v>
      </c>
      <c r="O209" s="256">
        <v>2.57</v>
      </c>
      <c r="P209" s="182">
        <v>8</v>
      </c>
      <c r="Q209" s="182">
        <f>(P209*$E209*$F209*$G209*$L209*$Q$12)</f>
        <v>134373.99360000002</v>
      </c>
      <c r="R209" s="182">
        <v>1</v>
      </c>
      <c r="S209" s="182">
        <f>(R209*$E209*$F209*$G209*$L209*$S$12)</f>
        <v>16796.749200000002</v>
      </c>
      <c r="T209" s="182">
        <v>2</v>
      </c>
      <c r="U209" s="182">
        <f t="shared" ref="U209:U212" si="814">(T209/12*11*$E209*$F209*$G209*$L209*$U$12)+(T209/12*1*$E209*$F209*$G209*$L209*$U$14)</f>
        <v>38556.174299999991</v>
      </c>
      <c r="V209" s="182"/>
      <c r="W209" s="183">
        <f t="shared" ref="W209:W212" si="815">(V209*$E209*$F209*$G209*$L209*$W$12)/12*10+(V209*$E209*$F209*$G209*$L209*$W$13)/12*1++(V209*$E209*$F209*$G209*$L209*$W$14)/12*1</f>
        <v>0</v>
      </c>
      <c r="X209" s="183"/>
      <c r="Y209" s="183">
        <v>0</v>
      </c>
      <c r="Z209" s="183">
        <v>0</v>
      </c>
      <c r="AA209" s="183">
        <v>0</v>
      </c>
      <c r="AB209" s="182">
        <f t="shared" si="801"/>
        <v>0</v>
      </c>
      <c r="AC209" s="182">
        <f t="shared" si="801"/>
        <v>0</v>
      </c>
      <c r="AD209" s="182"/>
      <c r="AE209" s="182">
        <f>(AD209*$E209*$F209*$G209*$L209*$AE$12)</f>
        <v>0</v>
      </c>
      <c r="AF209" s="182"/>
      <c r="AG209" s="182"/>
      <c r="AH209" s="182"/>
      <c r="AI209" s="182">
        <f>(AH209*$E209*$F209*$G209*$L209*$AI$12)</f>
        <v>0</v>
      </c>
      <c r="AJ209" s="182"/>
      <c r="AK209" s="182"/>
      <c r="AL209" s="182"/>
      <c r="AM209" s="182"/>
      <c r="AN209" s="205"/>
      <c r="AO209" s="182">
        <f>(AN209*$E209*$F209*$G209*$L209*$AO$12)</f>
        <v>0</v>
      </c>
      <c r="AP209" s="182">
        <v>5</v>
      </c>
      <c r="AQ209" s="183">
        <f>(AP209*$E209*$F209*$G209*$L209*$AQ$12)</f>
        <v>83983.746000000014</v>
      </c>
      <c r="AR209" s="182"/>
      <c r="AS209" s="182">
        <f t="shared" ref="AS209:AS212" si="816">(AR209*$E209*$F209*$G209*$L209*$AS$12)/12*10+(AR209*$E209*$F209*$G209*$L209*$AS$13)/12*1+(AR209*$E209*$F209*$G209*$L209*$AS$14)/12*1</f>
        <v>0</v>
      </c>
      <c r="AT209" s="182">
        <v>30</v>
      </c>
      <c r="AU209" s="182">
        <f>(AT209*$E209*$F209*$G209*$M209*$AU$12)/12*10+(AT209*$E209*$F209*$G209*$M209*$AU$13)/12+(AT209*$E209*$F209*$G209*$M209*$AU$14*$AU$15)/12</f>
        <v>633487.59424490388</v>
      </c>
      <c r="AV209" s="186">
        <v>0</v>
      </c>
      <c r="AW209" s="182">
        <v>0</v>
      </c>
      <c r="AX209" s="182"/>
      <c r="AY209" s="187">
        <f>(AX209*$E209*$F209*$G209*$M209*$AY$12)</f>
        <v>0</v>
      </c>
      <c r="AZ209" s="182"/>
      <c r="BA209" s="182">
        <f>(AZ209*$E209*$F209*$G209*$L209*$BA$12)</f>
        <v>0</v>
      </c>
      <c r="BB209" s="182"/>
      <c r="BC209" s="182">
        <f>(BB209*$E209*$F209*$G209*$L209*$BC$12)</f>
        <v>0</v>
      </c>
      <c r="BD209" s="182"/>
      <c r="BE209" s="182">
        <f>(BD209*$E209*$F209*$G209*$L209*$BE$12)</f>
        <v>0</v>
      </c>
      <c r="BF209" s="182"/>
      <c r="BG209" s="182">
        <f>(BF209*$E209*$F209*$G209*$L209*$BG$12)</f>
        <v>0</v>
      </c>
      <c r="BH209" s="182"/>
      <c r="BI209" s="183">
        <f>(BH209*$E209*$F209*$G209*$L209*$BI$12)</f>
        <v>0</v>
      </c>
      <c r="BJ209" s="182"/>
      <c r="BK209" s="183">
        <f>(BJ209*$E209*$F209*$G209*$L209*$BK$12)</f>
        <v>0</v>
      </c>
      <c r="BL209" s="182"/>
      <c r="BM209" s="182">
        <f>(BL209*$E209*$F209*$G209*$L209*$BM$12)</f>
        <v>0</v>
      </c>
      <c r="BN209" s="182"/>
      <c r="BO209" s="182">
        <f>(BN209*$E209*$F209*$G209*$M209*$BO$12)</f>
        <v>0</v>
      </c>
      <c r="BP209" s="182"/>
      <c r="BQ209" s="182">
        <f>(BP209*$E209*$F209*$G209*$M209*$BQ$12)</f>
        <v>0</v>
      </c>
      <c r="BR209" s="182"/>
      <c r="BS209" s="183">
        <f>(BR209*$E209*$F209*$G209*$M209*$BS$12)</f>
        <v>0</v>
      </c>
      <c r="BT209" s="182"/>
      <c r="BU209" s="182">
        <f>(BT209*$E209*$F209*$G209*$M209*$BU$12)</f>
        <v>0</v>
      </c>
      <c r="BV209" s="182"/>
      <c r="BW209" s="182">
        <f>(BV209*$E209*$F209*$G209*$M209*$BW$12)</f>
        <v>0</v>
      </c>
      <c r="BX209" s="182"/>
      <c r="BY209" s="183">
        <f>(BX209*$E209*$F209*$G209*$M209*$BY$12)</f>
        <v>0</v>
      </c>
      <c r="BZ209" s="182"/>
      <c r="CA209" s="187">
        <f>(BZ209*$E209*$F209*$G209*$M209*$CA$12)</f>
        <v>0</v>
      </c>
      <c r="CB209" s="182"/>
      <c r="CC209" s="182">
        <f>(CB209*$E209*$F209*$G209*$L209*$CC$12)</f>
        <v>0</v>
      </c>
      <c r="CD209" s="182"/>
      <c r="CE209" s="182">
        <f>(CD209*$E209*$F209*$G209*$L209*$CE$12)</f>
        <v>0</v>
      </c>
      <c r="CF209" s="182"/>
      <c r="CG209" s="182">
        <f>(CF209*$E209*$F209*$G209*$L209*$CG$12)</f>
        <v>0</v>
      </c>
      <c r="CH209" s="182"/>
      <c r="CI209" s="182">
        <f>(CH209*$E209*$F209*$G209*$M209*$CI$12)</f>
        <v>0</v>
      </c>
      <c r="CJ209" s="182"/>
      <c r="CK209" s="182"/>
      <c r="CL209" s="182"/>
      <c r="CM209" s="183">
        <f>(CL209*$E209*$F209*$G209*$L209*$CM$12)</f>
        <v>0</v>
      </c>
      <c r="CN209" s="182"/>
      <c r="CO209" s="183">
        <f>(CN209*$E209*$F209*$G209*$L209*$CO$12)</f>
        <v>0</v>
      </c>
      <c r="CP209" s="182"/>
      <c r="CQ209" s="182">
        <f>(CP209*$E209*$F209*$G209*$L209*$CQ$12)</f>
        <v>0</v>
      </c>
      <c r="CR209" s="182"/>
      <c r="CS209" s="182">
        <f>(CR209*$E209*$F209*$G209*$L209*$CS$12)</f>
        <v>0</v>
      </c>
      <c r="CT209" s="182"/>
      <c r="CU209" s="182">
        <f>(CT209*$E209*$F209*$G209*$L209*$CU$12)</f>
        <v>0</v>
      </c>
      <c r="CV209" s="182"/>
      <c r="CW209" s="182">
        <v>0</v>
      </c>
      <c r="CX209" s="182"/>
      <c r="CY209" s="182">
        <f>(CX209*$E209*$F209*$G209*$M209*$CY$12)</f>
        <v>0</v>
      </c>
      <c r="CZ209" s="182"/>
      <c r="DA209" s="182">
        <v>0</v>
      </c>
      <c r="DB209" s="188"/>
      <c r="DC209" s="182">
        <f>(DB209*$E209*$F209*$G209*$M209*$DC$12)</f>
        <v>0</v>
      </c>
      <c r="DD209" s="182"/>
      <c r="DE209" s="187"/>
      <c r="DF209" s="182"/>
      <c r="DG209" s="182">
        <f>(DF209*$E209*$F209*$G209*$M209*$DG$12)</f>
        <v>0</v>
      </c>
      <c r="DH209" s="189"/>
      <c r="DI209" s="182">
        <f>(DH209*$E209*$F209*$G209*$M209*$DI$12)</f>
        <v>0</v>
      </c>
      <c r="DJ209" s="182"/>
      <c r="DK209" s="182">
        <f>(DJ209*$E209*$F209*$G209*$M209*$DK$12)</f>
        <v>0</v>
      </c>
      <c r="DL209" s="182"/>
      <c r="DM209" s="182">
        <f>(DL209*$E209*$F209*$G209*$N209*$DM$12)</f>
        <v>0</v>
      </c>
      <c r="DN209" s="182"/>
      <c r="DO209" s="190">
        <f>(DN209*$E209*$F209*$G209*$O209*$DO$12)</f>
        <v>0</v>
      </c>
      <c r="DP209" s="187"/>
      <c r="DQ209" s="187"/>
      <c r="DR209" s="183">
        <f t="shared" si="799"/>
        <v>46</v>
      </c>
      <c r="DS209" s="183">
        <f t="shared" si="799"/>
        <v>907198.25734490389</v>
      </c>
      <c r="DT209" s="182">
        <v>46</v>
      </c>
      <c r="DU209" s="182">
        <v>891754.68479999993</v>
      </c>
      <c r="DV209" s="167">
        <f t="shared" ref="DV209:DW272" si="817">DR209-DT209</f>
        <v>0</v>
      </c>
      <c r="DW209" s="167">
        <f t="shared" si="817"/>
        <v>15443.57254490396</v>
      </c>
    </row>
    <row r="210" spans="1:127" ht="45" x14ac:dyDescent="0.25">
      <c r="A210" s="154"/>
      <c r="B210" s="176">
        <v>176</v>
      </c>
      <c r="C210" s="208" t="s">
        <v>505</v>
      </c>
      <c r="D210" s="178" t="s">
        <v>506</v>
      </c>
      <c r="E210" s="158">
        <v>25969</v>
      </c>
      <c r="F210" s="257">
        <v>1.6</v>
      </c>
      <c r="G210" s="168">
        <v>1</v>
      </c>
      <c r="H210" s="169"/>
      <c r="I210" s="169"/>
      <c r="J210" s="169"/>
      <c r="K210" s="106"/>
      <c r="L210" s="255">
        <v>1.4</v>
      </c>
      <c r="M210" s="255">
        <v>1.68</v>
      </c>
      <c r="N210" s="255">
        <v>2.23</v>
      </c>
      <c r="O210" s="256">
        <v>2.57</v>
      </c>
      <c r="P210" s="182">
        <v>54</v>
      </c>
      <c r="Q210" s="182">
        <f>(P210*$E210*$F210*$G210*$L210*$Q$12)</f>
        <v>3455331.264</v>
      </c>
      <c r="R210" s="182">
        <v>1</v>
      </c>
      <c r="S210" s="182">
        <f>(R210*$E210*$F210*$G210*$L210*$S$12)</f>
        <v>63987.616000000002</v>
      </c>
      <c r="T210" s="182">
        <v>5</v>
      </c>
      <c r="U210" s="182">
        <f t="shared" si="814"/>
        <v>367201.66000000003</v>
      </c>
      <c r="V210" s="182"/>
      <c r="W210" s="183">
        <f t="shared" si="815"/>
        <v>0</v>
      </c>
      <c r="X210" s="183">
        <v>3</v>
      </c>
      <c r="Y210" s="183">
        <v>244316.35199999998</v>
      </c>
      <c r="Z210" s="183">
        <v>2</v>
      </c>
      <c r="AA210" s="183">
        <v>195453.0816</v>
      </c>
      <c r="AB210" s="182">
        <f t="shared" si="801"/>
        <v>5</v>
      </c>
      <c r="AC210" s="182">
        <f t="shared" si="801"/>
        <v>439769.43359999999</v>
      </c>
      <c r="AD210" s="182"/>
      <c r="AE210" s="182">
        <f>(AD210*$E210*$F210*$G210*$L210*$AE$12)</f>
        <v>0</v>
      </c>
      <c r="AF210" s="182"/>
      <c r="AG210" s="182"/>
      <c r="AH210" s="182"/>
      <c r="AI210" s="182">
        <f>(AH210*$E210*$F210*$G210*$L210*$AI$12)</f>
        <v>0</v>
      </c>
      <c r="AJ210" s="182"/>
      <c r="AK210" s="182"/>
      <c r="AL210" s="182"/>
      <c r="AM210" s="182"/>
      <c r="AN210" s="205">
        <v>1</v>
      </c>
      <c r="AO210" s="182">
        <f>(AN210*$E210*$F210*$G210*$L210*$AO$12)</f>
        <v>63987.616000000002</v>
      </c>
      <c r="AP210" s="182">
        <v>5</v>
      </c>
      <c r="AQ210" s="183">
        <f>(AP210*$E210*$F210*$G210*$L210*$AQ$12)</f>
        <v>319938.08</v>
      </c>
      <c r="AR210" s="182"/>
      <c r="AS210" s="182">
        <f t="shared" si="816"/>
        <v>0</v>
      </c>
      <c r="AT210" s="182"/>
      <c r="AU210" s="182">
        <f>(AT210*$E210*$F210*$G210*$M210*$AU$12)</f>
        <v>0</v>
      </c>
      <c r="AV210" s="186">
        <v>18</v>
      </c>
      <c r="AW210" s="182">
        <v>1734646.0900000003</v>
      </c>
      <c r="AX210" s="182"/>
      <c r="AY210" s="187">
        <f>(AX210*$E210*$F210*$G210*$M210*$AY$12)</f>
        <v>0</v>
      </c>
      <c r="AZ210" s="182"/>
      <c r="BA210" s="182">
        <f>(AZ210*$E210*$F210*$G210*$L210*$BA$12)</f>
        <v>0</v>
      </c>
      <c r="BB210" s="182"/>
      <c r="BC210" s="182">
        <f>(BB210*$E210*$F210*$G210*$L210*$BC$12)</f>
        <v>0</v>
      </c>
      <c r="BD210" s="182"/>
      <c r="BE210" s="182">
        <f>(BD210*$E210*$F210*$G210*$L210*$BE$12)</f>
        <v>0</v>
      </c>
      <c r="BF210" s="182"/>
      <c r="BG210" s="182">
        <f>(BF210*$E210*$F210*$G210*$L210*$BG$12)</f>
        <v>0</v>
      </c>
      <c r="BH210" s="182"/>
      <c r="BI210" s="183">
        <f>(BH210*$E210*$F210*$G210*$L210*$BI$12)</f>
        <v>0</v>
      </c>
      <c r="BJ210" s="182"/>
      <c r="BK210" s="183">
        <f>(BJ210*$E210*$F210*$G210*$L210*$BK$12)</f>
        <v>0</v>
      </c>
      <c r="BL210" s="182"/>
      <c r="BM210" s="182">
        <f>(BL210*$E210*$F210*$G210*$L210*$BM$12)</f>
        <v>0</v>
      </c>
      <c r="BN210" s="182"/>
      <c r="BO210" s="182">
        <f>(BN210*$E210*$F210*$G210*$M210*$BO$12)</f>
        <v>0</v>
      </c>
      <c r="BP210" s="182"/>
      <c r="BQ210" s="182">
        <f>(BP210*$E210*$F210*$G210*$M210*$BQ$12)</f>
        <v>0</v>
      </c>
      <c r="BR210" s="182"/>
      <c r="BS210" s="183">
        <f>(BR210*$E210*$F210*$G210*$M210*$BS$12)</f>
        <v>0</v>
      </c>
      <c r="BT210" s="182"/>
      <c r="BU210" s="182">
        <f>(BT210*$E210*$F210*$G210*$M210*$BU$12)</f>
        <v>0</v>
      </c>
      <c r="BV210" s="182"/>
      <c r="BW210" s="182">
        <f>(BV210*$E210*$F210*$G210*$M210*$BW$12)</f>
        <v>0</v>
      </c>
      <c r="BX210" s="182"/>
      <c r="BY210" s="183">
        <f>(BX210*$E210*$F210*$G210*$M210*$BY$12)</f>
        <v>0</v>
      </c>
      <c r="BZ210" s="182"/>
      <c r="CA210" s="187">
        <f>(BZ210*$E210*$F210*$G210*$M210*$CA$12)</f>
        <v>0</v>
      </c>
      <c r="CB210" s="182"/>
      <c r="CC210" s="182">
        <f>(CB210*$E210*$F210*$G210*$L210*$CC$12)</f>
        <v>0</v>
      </c>
      <c r="CD210" s="182"/>
      <c r="CE210" s="182">
        <f>(CD210*$E210*$F210*$G210*$L210*$CE$12)</f>
        <v>0</v>
      </c>
      <c r="CF210" s="182"/>
      <c r="CG210" s="182">
        <f>(CF210*$E210*$F210*$G210*$L210*$CG$12)</f>
        <v>0</v>
      </c>
      <c r="CH210" s="182"/>
      <c r="CI210" s="182">
        <f>(CH210*$E210*$F210*$G210*$M210*$CI$12)</f>
        <v>0</v>
      </c>
      <c r="CJ210" s="182"/>
      <c r="CK210" s="182"/>
      <c r="CL210" s="182"/>
      <c r="CM210" s="183">
        <f>(CL210*$E210*$F210*$G210*$L210*$CM$12)</f>
        <v>0</v>
      </c>
      <c r="CN210" s="182"/>
      <c r="CO210" s="183">
        <f>(CN210*$E210*$F210*$G210*$L210*$CO$12)</f>
        <v>0</v>
      </c>
      <c r="CP210" s="182"/>
      <c r="CQ210" s="182">
        <f>(CP210*$E210*$F210*$G210*$L210*$CQ$12)</f>
        <v>0</v>
      </c>
      <c r="CR210" s="182"/>
      <c r="CS210" s="182">
        <f>(CR210*$E210*$F210*$G210*$L210*$CS$12)</f>
        <v>0</v>
      </c>
      <c r="CT210" s="182"/>
      <c r="CU210" s="182">
        <f>(CT210*$E210*$F210*$G210*$L210*$CU$12)</f>
        <v>0</v>
      </c>
      <c r="CV210" s="182">
        <v>1</v>
      </c>
      <c r="CW210" s="182">
        <v>52353.5</v>
      </c>
      <c r="CX210" s="182"/>
      <c r="CY210" s="182">
        <f>(CX210*$E210*$F210*$G210*$M210*$CY$12)</f>
        <v>0</v>
      </c>
      <c r="CZ210" s="182"/>
      <c r="DA210" s="182">
        <v>0</v>
      </c>
      <c r="DB210" s="188"/>
      <c r="DC210" s="182">
        <f>(DB210*$E210*$F210*$G210*$M210*$DC$12)</f>
        <v>0</v>
      </c>
      <c r="DD210" s="182"/>
      <c r="DE210" s="187"/>
      <c r="DF210" s="182"/>
      <c r="DG210" s="182">
        <f>(DF210*$E210*$F210*$G210*$M210*$DG$12)</f>
        <v>0</v>
      </c>
      <c r="DH210" s="189"/>
      <c r="DI210" s="182">
        <f>(DH210*$E210*$F210*$G210*$M210*$DI$12)</f>
        <v>0</v>
      </c>
      <c r="DJ210" s="182"/>
      <c r="DK210" s="182">
        <f>(DJ210*$E210*$F210*$G210*$M210*$DK$12)</f>
        <v>0</v>
      </c>
      <c r="DL210" s="182"/>
      <c r="DM210" s="182">
        <f>(DL210*$E210*$F210*$G210*$N210*$DM$12)</f>
        <v>0</v>
      </c>
      <c r="DN210" s="182"/>
      <c r="DO210" s="190">
        <f>(DN210*$E210*$F210*$G210*$O210*$DO$12)</f>
        <v>0</v>
      </c>
      <c r="DP210" s="187"/>
      <c r="DQ210" s="187"/>
      <c r="DR210" s="183">
        <f t="shared" si="799"/>
        <v>90</v>
      </c>
      <c r="DS210" s="183">
        <f t="shared" si="799"/>
        <v>6497215.2596000005</v>
      </c>
      <c r="DT210" s="182">
        <v>88</v>
      </c>
      <c r="DU210" s="182">
        <v>6322558.1623999998</v>
      </c>
      <c r="DV210" s="167">
        <f t="shared" si="817"/>
        <v>2</v>
      </c>
      <c r="DW210" s="167">
        <f t="shared" si="817"/>
        <v>174657.09720000066</v>
      </c>
    </row>
    <row r="211" spans="1:127" ht="45" x14ac:dyDescent="0.25">
      <c r="A211" s="154"/>
      <c r="B211" s="176">
        <v>177</v>
      </c>
      <c r="C211" s="208" t="s">
        <v>507</v>
      </c>
      <c r="D211" s="178" t="s">
        <v>508</v>
      </c>
      <c r="E211" s="158">
        <v>25969</v>
      </c>
      <c r="F211" s="257">
        <v>3.36</v>
      </c>
      <c r="G211" s="168">
        <v>1</v>
      </c>
      <c r="H211" s="169"/>
      <c r="I211" s="169"/>
      <c r="J211" s="169"/>
      <c r="K211" s="106"/>
      <c r="L211" s="255">
        <v>1.4</v>
      </c>
      <c r="M211" s="255">
        <v>1.68</v>
      </c>
      <c r="N211" s="255">
        <v>2.23</v>
      </c>
      <c r="O211" s="256">
        <v>2.57</v>
      </c>
      <c r="P211" s="182">
        <v>13</v>
      </c>
      <c r="Q211" s="182">
        <f>(P211*$E211*$F211*$G211*$L211*$Q$12)</f>
        <v>1746861.9167999998</v>
      </c>
      <c r="R211" s="182"/>
      <c r="S211" s="182">
        <f>(R211*$E211*$F211*$G211*$L211*$S$12)</f>
        <v>0</v>
      </c>
      <c r="T211" s="182">
        <v>4</v>
      </c>
      <c r="U211" s="182">
        <f t="shared" si="814"/>
        <v>616898.78879999986</v>
      </c>
      <c r="V211" s="182"/>
      <c r="W211" s="183">
        <f t="shared" si="815"/>
        <v>0</v>
      </c>
      <c r="X211" s="183">
        <v>8</v>
      </c>
      <c r="Y211" s="183">
        <v>1368171.5711999999</v>
      </c>
      <c r="Z211" s="183">
        <v>0</v>
      </c>
      <c r="AA211" s="183">
        <v>0</v>
      </c>
      <c r="AB211" s="182">
        <f t="shared" si="801"/>
        <v>8</v>
      </c>
      <c r="AC211" s="182">
        <f t="shared" si="801"/>
        <v>1368171.5711999999</v>
      </c>
      <c r="AD211" s="182"/>
      <c r="AE211" s="182">
        <f>(AD211*$E211*$F211*$G211*$L211*$AE$12)</f>
        <v>0</v>
      </c>
      <c r="AF211" s="182"/>
      <c r="AG211" s="182"/>
      <c r="AH211" s="182"/>
      <c r="AI211" s="182">
        <f>(AH211*$E211*$F211*$G211*$L211*$AI$12)</f>
        <v>0</v>
      </c>
      <c r="AJ211" s="182"/>
      <c r="AK211" s="182"/>
      <c r="AL211" s="182"/>
      <c r="AM211" s="182"/>
      <c r="AN211" s="205"/>
      <c r="AO211" s="182">
        <f>(AN211*$E211*$F211*$G211*$L211*$AO$12)</f>
        <v>0</v>
      </c>
      <c r="AP211" s="182"/>
      <c r="AQ211" s="183">
        <f>(AP211*$E211*$F211*$G211*$L211*$AQ$12)</f>
        <v>0</v>
      </c>
      <c r="AR211" s="182"/>
      <c r="AS211" s="182">
        <f t="shared" si="816"/>
        <v>0</v>
      </c>
      <c r="AT211" s="182"/>
      <c r="AU211" s="182">
        <f>(AT211*$E211*$F211*$G211*$M211*$AU$12)</f>
        <v>0</v>
      </c>
      <c r="AV211" s="186">
        <v>1</v>
      </c>
      <c r="AW211" s="182">
        <v>205225.74</v>
      </c>
      <c r="AX211" s="182"/>
      <c r="AY211" s="187">
        <f>(AX211*$E211*$F211*$G211*$M211*$AY$12)</f>
        <v>0</v>
      </c>
      <c r="AZ211" s="182"/>
      <c r="BA211" s="182">
        <f>(AZ211*$E211*$F211*$G211*$L211*$BA$12)</f>
        <v>0</v>
      </c>
      <c r="BB211" s="182"/>
      <c r="BC211" s="182">
        <f>(BB211*$E211*$F211*$G211*$L211*$BC$12)</f>
        <v>0</v>
      </c>
      <c r="BD211" s="182"/>
      <c r="BE211" s="182">
        <f>(BD211*$E211*$F211*$G211*$L211*$BE$12)</f>
        <v>0</v>
      </c>
      <c r="BF211" s="182"/>
      <c r="BG211" s="182">
        <f>(BF211*$E211*$F211*$G211*$L211*$BG$12)</f>
        <v>0</v>
      </c>
      <c r="BH211" s="182"/>
      <c r="BI211" s="183">
        <f>(BH211*$E211*$F211*$G211*$L211*$BI$12)</f>
        <v>0</v>
      </c>
      <c r="BJ211" s="182"/>
      <c r="BK211" s="183">
        <f>(BJ211*$E211*$F211*$G211*$L211*$BK$12)</f>
        <v>0</v>
      </c>
      <c r="BL211" s="182"/>
      <c r="BM211" s="182">
        <f>(BL211*$E211*$F211*$G211*$L211*$BM$12)</f>
        <v>0</v>
      </c>
      <c r="BN211" s="182"/>
      <c r="BO211" s="182">
        <f>(BN211*$E211*$F211*$G211*$M211*$BO$12)</f>
        <v>0</v>
      </c>
      <c r="BP211" s="182"/>
      <c r="BQ211" s="182">
        <f>(BP211*$E211*$F211*$G211*$M211*$BQ$12)</f>
        <v>0</v>
      </c>
      <c r="BR211" s="182"/>
      <c r="BS211" s="183">
        <f>(BR211*$E211*$F211*$G211*$M211*$BS$12)</f>
        <v>0</v>
      </c>
      <c r="BT211" s="182"/>
      <c r="BU211" s="182">
        <f>(BT211*$E211*$F211*$G211*$M211*$BU$12)</f>
        <v>0</v>
      </c>
      <c r="BV211" s="182"/>
      <c r="BW211" s="182">
        <f>(BV211*$E211*$F211*$G211*$M211*$BW$12)</f>
        <v>0</v>
      </c>
      <c r="BX211" s="182"/>
      <c r="BY211" s="183">
        <f>(BX211*$E211*$F211*$G211*$M211*$BY$12)</f>
        <v>0</v>
      </c>
      <c r="BZ211" s="182"/>
      <c r="CA211" s="187">
        <f>(BZ211*$E211*$F211*$G211*$M211*$CA$12)</f>
        <v>0</v>
      </c>
      <c r="CB211" s="182"/>
      <c r="CC211" s="182">
        <f>(CB211*$E211*$F211*$G211*$L211*$CC$12)</f>
        <v>0</v>
      </c>
      <c r="CD211" s="182"/>
      <c r="CE211" s="182">
        <f>(CD211*$E211*$F211*$G211*$L211*$CE$12)</f>
        <v>0</v>
      </c>
      <c r="CF211" s="182"/>
      <c r="CG211" s="182">
        <f>(CF211*$E211*$F211*$G211*$L211*$CG$12)</f>
        <v>0</v>
      </c>
      <c r="CH211" s="182"/>
      <c r="CI211" s="182">
        <f>(CH211*$E211*$F211*$G211*$M211*$CI$12)</f>
        <v>0</v>
      </c>
      <c r="CJ211" s="182"/>
      <c r="CK211" s="182"/>
      <c r="CL211" s="182"/>
      <c r="CM211" s="183">
        <f>(CL211*$E211*$F211*$G211*$L211*$CM$12)</f>
        <v>0</v>
      </c>
      <c r="CN211" s="182"/>
      <c r="CO211" s="183">
        <f>(CN211*$E211*$F211*$G211*$L211*$CO$12)</f>
        <v>0</v>
      </c>
      <c r="CP211" s="182"/>
      <c r="CQ211" s="182">
        <f>(CP211*$E211*$F211*$G211*$L211*$CQ$12)</f>
        <v>0</v>
      </c>
      <c r="CR211" s="182"/>
      <c r="CS211" s="182">
        <f>(CR211*$E211*$F211*$G211*$L211*$CS$12)</f>
        <v>0</v>
      </c>
      <c r="CT211" s="182"/>
      <c r="CU211" s="182">
        <f>(CT211*$E211*$F211*$G211*$L211*$CU$12)</f>
        <v>0</v>
      </c>
      <c r="CV211" s="182">
        <v>1</v>
      </c>
      <c r="CW211" s="182">
        <v>146589.81</v>
      </c>
      <c r="CX211" s="182"/>
      <c r="CY211" s="182">
        <f>(CX211*$E211*$F211*$G211*$M211*$CY$12)</f>
        <v>0</v>
      </c>
      <c r="CZ211" s="182"/>
      <c r="DA211" s="182">
        <v>0</v>
      </c>
      <c r="DB211" s="188"/>
      <c r="DC211" s="182">
        <f>(DB211*$E211*$F211*$G211*$M211*$DC$12)</f>
        <v>0</v>
      </c>
      <c r="DD211" s="182"/>
      <c r="DE211" s="187"/>
      <c r="DF211" s="182"/>
      <c r="DG211" s="182">
        <f>(DF211*$E211*$F211*$G211*$M211*$DG$12)</f>
        <v>0</v>
      </c>
      <c r="DH211" s="189"/>
      <c r="DI211" s="182">
        <f>(DH211*$E211*$F211*$G211*$M211*$DI$12)</f>
        <v>0</v>
      </c>
      <c r="DJ211" s="182"/>
      <c r="DK211" s="182">
        <f>(DJ211*$E211*$F211*$G211*$M211*$DK$12)</f>
        <v>0</v>
      </c>
      <c r="DL211" s="182"/>
      <c r="DM211" s="182">
        <f>(DL211*$E211*$F211*$G211*$N211*$DM$12)</f>
        <v>0</v>
      </c>
      <c r="DN211" s="182"/>
      <c r="DO211" s="190">
        <f>(DN211*$E211*$F211*$G211*$O211*$DO$12)</f>
        <v>0</v>
      </c>
      <c r="DP211" s="187"/>
      <c r="DQ211" s="187"/>
      <c r="DR211" s="183">
        <f t="shared" si="799"/>
        <v>27</v>
      </c>
      <c r="DS211" s="183">
        <f t="shared" si="799"/>
        <v>4083747.8267999995</v>
      </c>
      <c r="DT211" s="182">
        <v>28</v>
      </c>
      <c r="DU211" s="182">
        <v>4282865.6493599992</v>
      </c>
      <c r="DV211" s="167">
        <f t="shared" si="817"/>
        <v>-1</v>
      </c>
      <c r="DW211" s="167">
        <f t="shared" si="817"/>
        <v>-199117.82255999977</v>
      </c>
    </row>
    <row r="212" spans="1:127" ht="45" x14ac:dyDescent="0.25">
      <c r="A212" s="154"/>
      <c r="B212" s="176">
        <v>178</v>
      </c>
      <c r="C212" s="208" t="s">
        <v>509</v>
      </c>
      <c r="D212" s="178" t="s">
        <v>510</v>
      </c>
      <c r="E212" s="158">
        <v>25969</v>
      </c>
      <c r="F212" s="257">
        <v>6</v>
      </c>
      <c r="G212" s="168">
        <v>1</v>
      </c>
      <c r="H212" s="169"/>
      <c r="I212" s="169"/>
      <c r="J212" s="169"/>
      <c r="K212" s="106"/>
      <c r="L212" s="255">
        <v>1.4</v>
      </c>
      <c r="M212" s="255">
        <v>1.68</v>
      </c>
      <c r="N212" s="255">
        <v>2.23</v>
      </c>
      <c r="O212" s="256">
        <v>2.57</v>
      </c>
      <c r="P212" s="182">
        <v>3</v>
      </c>
      <c r="Q212" s="182">
        <f>(P212*$E212*$F212*$G212*$L212*$Q$12)</f>
        <v>719860.67999999993</v>
      </c>
      <c r="R212" s="182">
        <v>1</v>
      </c>
      <c r="S212" s="182">
        <f>(R212*$E212*$F212*$G212*$L212*$S$12)</f>
        <v>239953.56</v>
      </c>
      <c r="T212" s="182">
        <v>9</v>
      </c>
      <c r="U212" s="182">
        <f t="shared" si="814"/>
        <v>2478611.2050000001</v>
      </c>
      <c r="V212" s="182"/>
      <c r="W212" s="183">
        <f t="shared" si="815"/>
        <v>0</v>
      </c>
      <c r="X212" s="183">
        <v>6</v>
      </c>
      <c r="Y212" s="183">
        <v>1832372.6399999997</v>
      </c>
      <c r="Z212" s="183">
        <v>0</v>
      </c>
      <c r="AA212" s="183">
        <v>0</v>
      </c>
      <c r="AB212" s="182">
        <f t="shared" si="801"/>
        <v>6</v>
      </c>
      <c r="AC212" s="182">
        <f t="shared" si="801"/>
        <v>1832372.6399999997</v>
      </c>
      <c r="AD212" s="182"/>
      <c r="AE212" s="182">
        <f>(AD212*$E212*$F212*$G212*$L212*$AE$12)</f>
        <v>0</v>
      </c>
      <c r="AF212" s="182"/>
      <c r="AG212" s="182"/>
      <c r="AH212" s="182"/>
      <c r="AI212" s="182">
        <f>(AH212*$E212*$F212*$G212*$L212*$AI$12)</f>
        <v>0</v>
      </c>
      <c r="AJ212" s="182"/>
      <c r="AK212" s="182"/>
      <c r="AL212" s="182"/>
      <c r="AM212" s="182"/>
      <c r="AN212" s="205"/>
      <c r="AO212" s="182">
        <f>(AN212*$E212*$F212*$G212*$L212*$AO$12)</f>
        <v>0</v>
      </c>
      <c r="AP212" s="182"/>
      <c r="AQ212" s="183">
        <f>(AP212*$E212*$F212*$G212*$L212*$AQ$12)</f>
        <v>0</v>
      </c>
      <c r="AR212" s="182"/>
      <c r="AS212" s="182">
        <f t="shared" si="816"/>
        <v>0</v>
      </c>
      <c r="AT212" s="182"/>
      <c r="AU212" s="182">
        <f>(AT212*$E212*$F212*$G212*$M212*$AU$12)</f>
        <v>0</v>
      </c>
      <c r="AV212" s="186">
        <v>0</v>
      </c>
      <c r="AW212" s="182">
        <v>0</v>
      </c>
      <c r="AX212" s="182"/>
      <c r="AY212" s="187">
        <f>(AX212*$E212*$F212*$G212*$M212*$AY$12)</f>
        <v>0</v>
      </c>
      <c r="AZ212" s="182"/>
      <c r="BA212" s="182">
        <f>(AZ212*$E212*$F212*$G212*$L212*$BA$12)</f>
        <v>0</v>
      </c>
      <c r="BB212" s="182"/>
      <c r="BC212" s="182">
        <f>(BB212*$E212*$F212*$G212*$L212*$BC$12)</f>
        <v>0</v>
      </c>
      <c r="BD212" s="182"/>
      <c r="BE212" s="182">
        <f>(BD212*$E212*$F212*$G212*$L212*$BE$12)</f>
        <v>0</v>
      </c>
      <c r="BF212" s="182"/>
      <c r="BG212" s="182">
        <f>(BF212*$E212*$F212*$G212*$L212*$BG$12)</f>
        <v>0</v>
      </c>
      <c r="BH212" s="182"/>
      <c r="BI212" s="183">
        <f>(BH212*$E212*$F212*$G212*$L212*$BI$12)</f>
        <v>0</v>
      </c>
      <c r="BJ212" s="182"/>
      <c r="BK212" s="183">
        <f>(BJ212*$E212*$F212*$G212*$L212*$BK$12)</f>
        <v>0</v>
      </c>
      <c r="BL212" s="182"/>
      <c r="BM212" s="182">
        <f>(BL212*$E212*$F212*$G212*$L212*$BM$12)</f>
        <v>0</v>
      </c>
      <c r="BN212" s="182"/>
      <c r="BO212" s="182">
        <f>(BN212*$E212*$F212*$G212*$M212*$BO$12)</f>
        <v>0</v>
      </c>
      <c r="BP212" s="182"/>
      <c r="BQ212" s="182">
        <f>(BP212*$E212*$F212*$G212*$M212*$BQ$12)</f>
        <v>0</v>
      </c>
      <c r="BR212" s="182"/>
      <c r="BS212" s="183">
        <f>(BR212*$E212*$F212*$G212*$M212*$BS$12)</f>
        <v>0</v>
      </c>
      <c r="BT212" s="182"/>
      <c r="BU212" s="182">
        <f>(BT212*$E212*$F212*$G212*$M212*$BU$12)</f>
        <v>0</v>
      </c>
      <c r="BV212" s="182"/>
      <c r="BW212" s="182">
        <f>(BV212*$E212*$F212*$G212*$M212*$BW$12)</f>
        <v>0</v>
      </c>
      <c r="BX212" s="182"/>
      <c r="BY212" s="183">
        <f>(BX212*$E212*$F212*$G212*$M212*$BY$12)</f>
        <v>0</v>
      </c>
      <c r="BZ212" s="182"/>
      <c r="CA212" s="187">
        <f>(BZ212*$E212*$F212*$G212*$M212*$CA$12)</f>
        <v>0</v>
      </c>
      <c r="CB212" s="182"/>
      <c r="CC212" s="182">
        <f>(CB212*$E212*$F212*$G212*$L212*$CC$12)</f>
        <v>0</v>
      </c>
      <c r="CD212" s="182"/>
      <c r="CE212" s="182">
        <f>(CD212*$E212*$F212*$G212*$L212*$CE$12)</f>
        <v>0</v>
      </c>
      <c r="CF212" s="182"/>
      <c r="CG212" s="182">
        <f>(CF212*$E212*$F212*$G212*$L212*$CG$12)</f>
        <v>0</v>
      </c>
      <c r="CH212" s="182"/>
      <c r="CI212" s="182">
        <f>(CH212*$E212*$F212*$G212*$M212*$CI$12)</f>
        <v>0</v>
      </c>
      <c r="CJ212" s="182"/>
      <c r="CK212" s="182"/>
      <c r="CL212" s="182"/>
      <c r="CM212" s="183">
        <f>(CL212*$E212*$F212*$G212*$L212*$CM$12)</f>
        <v>0</v>
      </c>
      <c r="CN212" s="182"/>
      <c r="CO212" s="183">
        <f>(CN212*$E212*$F212*$G212*$L212*$CO$12)</f>
        <v>0</v>
      </c>
      <c r="CP212" s="182"/>
      <c r="CQ212" s="182">
        <f>(CP212*$E212*$F212*$G212*$L212*$CQ$12)</f>
        <v>0</v>
      </c>
      <c r="CR212" s="182"/>
      <c r="CS212" s="182">
        <f>(CR212*$E212*$F212*$G212*$L212*$CS$12)</f>
        <v>0</v>
      </c>
      <c r="CT212" s="182"/>
      <c r="CU212" s="182">
        <f>(CT212*$E212*$F212*$G212*$L212*$CU$12)</f>
        <v>0</v>
      </c>
      <c r="CV212" s="182"/>
      <c r="CW212" s="182">
        <v>0</v>
      </c>
      <c r="CX212" s="182"/>
      <c r="CY212" s="182">
        <f>(CX212*$E212*$F212*$G212*$M212*$CY$12)</f>
        <v>0</v>
      </c>
      <c r="CZ212" s="182"/>
      <c r="DA212" s="182">
        <v>0</v>
      </c>
      <c r="DB212" s="188"/>
      <c r="DC212" s="182">
        <f>(DB212*$E212*$F212*$G212*$M212*$DC$12)</f>
        <v>0</v>
      </c>
      <c r="DD212" s="182"/>
      <c r="DE212" s="187"/>
      <c r="DF212" s="182"/>
      <c r="DG212" s="182">
        <f>(DF212*$E212*$F212*$G212*$M212*$DG$12)</f>
        <v>0</v>
      </c>
      <c r="DH212" s="189"/>
      <c r="DI212" s="182">
        <f>(DH212*$E212*$F212*$G212*$M212*$DI$12)</f>
        <v>0</v>
      </c>
      <c r="DJ212" s="182"/>
      <c r="DK212" s="182">
        <f>(DJ212*$E212*$F212*$G212*$M212*$DK$12)</f>
        <v>0</v>
      </c>
      <c r="DL212" s="182"/>
      <c r="DM212" s="182">
        <f>(DL212*$E212*$F212*$G212*$N212*$DM$12)</f>
        <v>0</v>
      </c>
      <c r="DN212" s="182"/>
      <c r="DO212" s="190">
        <f>(DN212*$E212*$F212*$G212*$O212*$DO$12)</f>
        <v>0</v>
      </c>
      <c r="DP212" s="187"/>
      <c r="DQ212" s="187"/>
      <c r="DR212" s="183">
        <f t="shared" si="799"/>
        <v>19</v>
      </c>
      <c r="DS212" s="183">
        <f t="shared" si="799"/>
        <v>5270798.085</v>
      </c>
      <c r="DT212" s="182">
        <v>19</v>
      </c>
      <c r="DU212" s="182">
        <v>5246257.38</v>
      </c>
      <c r="DV212" s="167">
        <f t="shared" si="817"/>
        <v>0</v>
      </c>
      <c r="DW212" s="167">
        <f t="shared" si="817"/>
        <v>24540.705000000075</v>
      </c>
    </row>
    <row r="213" spans="1:127" ht="30" customHeight="1" x14ac:dyDescent="0.25">
      <c r="A213" s="154"/>
      <c r="B213" s="176">
        <v>179</v>
      </c>
      <c r="C213" s="208" t="s">
        <v>511</v>
      </c>
      <c r="D213" s="178" t="s">
        <v>512</v>
      </c>
      <c r="E213" s="158">
        <v>25969</v>
      </c>
      <c r="F213" s="257">
        <v>1.64</v>
      </c>
      <c r="G213" s="168">
        <v>1</v>
      </c>
      <c r="H213" s="169"/>
      <c r="I213" s="169"/>
      <c r="J213" s="169"/>
      <c r="K213" s="195">
        <v>0.79859999999999998</v>
      </c>
      <c r="L213" s="255">
        <v>1.4</v>
      </c>
      <c r="M213" s="255">
        <v>1.68</v>
      </c>
      <c r="N213" s="255">
        <v>2.23</v>
      </c>
      <c r="O213" s="256">
        <v>2.57</v>
      </c>
      <c r="P213" s="182">
        <v>173</v>
      </c>
      <c r="Q213" s="196">
        <f t="shared" ref="Q213:Q221" si="818">(P213*$E213*$F213*((1-$K213)+$K213*$L213*$Q$12*$G213))</f>
        <v>10545297.990701919</v>
      </c>
      <c r="R213" s="196"/>
      <c r="S213" s="196">
        <f t="shared" ref="S213:S221" si="819">(R213*$E213*$F213*((1-$K213)+$K213*$L213*$S$12*$G213))</f>
        <v>0</v>
      </c>
      <c r="T213" s="196"/>
      <c r="U213" s="196">
        <f t="shared" ref="U213:U221" si="820">(T213*$E213*$F213*((1-$K213)+$K213*$L213*U$12*$G213))</f>
        <v>0</v>
      </c>
      <c r="V213" s="182"/>
      <c r="W213" s="196">
        <f t="shared" ref="W213:W221" si="821">(V213*$E213*$F213*((1-$K213)+$K213*$L213*$W$12*$G213))</f>
        <v>0</v>
      </c>
      <c r="X213" s="196">
        <v>3</v>
      </c>
      <c r="Y213" s="196">
        <v>225721.18514687996</v>
      </c>
      <c r="Z213" s="196">
        <v>0</v>
      </c>
      <c r="AA213" s="196">
        <v>0</v>
      </c>
      <c r="AB213" s="182">
        <f t="shared" si="801"/>
        <v>3</v>
      </c>
      <c r="AC213" s="182">
        <f t="shared" si="801"/>
        <v>225721.18514687996</v>
      </c>
      <c r="AD213" s="182"/>
      <c r="AE213" s="196">
        <f t="shared" ref="AE213:AE221" si="822">(AD213*$E213*$F213*((1-$K213)+$K213*$L213*$AE$12*$G213))</f>
        <v>0</v>
      </c>
      <c r="AF213" s="182"/>
      <c r="AG213" s="182"/>
      <c r="AH213" s="182"/>
      <c r="AI213" s="196">
        <f t="shared" ref="AI213:AI221" si="823">(AH213*$E213*$F213*((1-$K213)+$K213*$L213*AI$12*$G213))</f>
        <v>0</v>
      </c>
      <c r="AJ213" s="196"/>
      <c r="AK213" s="196"/>
      <c r="AL213" s="182"/>
      <c r="AM213" s="182"/>
      <c r="AN213" s="205"/>
      <c r="AO213" s="196">
        <f t="shared" ref="AO213:AO221" si="824">(AN213*$E213*$F213*((1-$K213)+$K213*$G213*AO$12*$L213))</f>
        <v>0</v>
      </c>
      <c r="AP213" s="182"/>
      <c r="AQ213" s="196">
        <f t="shared" ref="AQ213:AQ221" si="825">(AP213*$E213*$F213*((1-$K213)+$K213*$G213*AQ$12*$L213))</f>
        <v>0</v>
      </c>
      <c r="AR213" s="182"/>
      <c r="AS213" s="196">
        <f t="shared" ref="AS213:AS221" si="826">(AR213*$E213*$F213*((1-$K213)+$K213*$G213*AS$12*$L213))</f>
        <v>0</v>
      </c>
      <c r="AT213" s="182"/>
      <c r="AU213" s="196">
        <f t="shared" ref="AU213:AU221" si="827">(AT213*$E213*$F213*((1-$K213)+$K213*$G213*AU$12*$M213))</f>
        <v>0</v>
      </c>
      <c r="AV213" s="186">
        <v>1</v>
      </c>
      <c r="AW213" s="196">
        <v>88572.98</v>
      </c>
      <c r="AX213" s="182"/>
      <c r="AY213" s="196">
        <f t="shared" ref="AY213:AY221" si="828">(AX213*$E213*$F213*((1-$K213)+$K213*$G213*AY$12*$M213))</f>
        <v>0</v>
      </c>
      <c r="AZ213" s="182"/>
      <c r="BA213" s="182"/>
      <c r="BB213" s="182"/>
      <c r="BC213" s="182"/>
      <c r="BD213" s="182"/>
      <c r="BE213" s="182"/>
      <c r="BF213" s="182"/>
      <c r="BG213" s="182"/>
      <c r="BH213" s="182"/>
      <c r="BI213" s="182"/>
      <c r="BJ213" s="182"/>
      <c r="BK213" s="182"/>
      <c r="BL213" s="182"/>
      <c r="BM213" s="182"/>
      <c r="BN213" s="182"/>
      <c r="BO213" s="182"/>
      <c r="BP213" s="182"/>
      <c r="BQ213" s="182"/>
      <c r="BR213" s="182"/>
      <c r="BS213" s="182"/>
      <c r="BT213" s="182"/>
      <c r="BU213" s="182"/>
      <c r="BV213" s="182"/>
      <c r="BW213" s="182"/>
      <c r="BX213" s="182"/>
      <c r="BY213" s="182"/>
      <c r="BZ213" s="182"/>
      <c r="CA213" s="187"/>
      <c r="CB213" s="182"/>
      <c r="CC213" s="182"/>
      <c r="CD213" s="182"/>
      <c r="CE213" s="182"/>
      <c r="CF213" s="182"/>
      <c r="CG213" s="182"/>
      <c r="CH213" s="182"/>
      <c r="CI213" s="182"/>
      <c r="CJ213" s="182"/>
      <c r="CK213" s="182"/>
      <c r="CL213" s="182"/>
      <c r="CM213" s="182"/>
      <c r="CN213" s="182"/>
      <c r="CO213" s="182"/>
      <c r="CP213" s="182"/>
      <c r="CQ213" s="182"/>
      <c r="CR213" s="182"/>
      <c r="CS213" s="182"/>
      <c r="CT213" s="182"/>
      <c r="CU213" s="182"/>
      <c r="CV213" s="182"/>
      <c r="CW213" s="182">
        <v>0</v>
      </c>
      <c r="CX213" s="182"/>
      <c r="CY213" s="182"/>
      <c r="CZ213" s="182"/>
      <c r="DA213" s="182">
        <v>0</v>
      </c>
      <c r="DB213" s="188"/>
      <c r="DC213" s="182"/>
      <c r="DD213" s="182"/>
      <c r="DE213" s="187"/>
      <c r="DF213" s="182"/>
      <c r="DG213" s="182"/>
      <c r="DH213" s="189"/>
      <c r="DI213" s="182"/>
      <c r="DJ213" s="182"/>
      <c r="DK213" s="196">
        <f t="shared" ref="DK213:DK221" si="829">(DJ213*$E213*$F213*((1-$K213)+$K213*$G213*DK$12*$M213))</f>
        <v>0</v>
      </c>
      <c r="DL213" s="182"/>
      <c r="DM213" s="182"/>
      <c r="DN213" s="182"/>
      <c r="DO213" s="187"/>
      <c r="DP213" s="187"/>
      <c r="DQ213" s="187"/>
      <c r="DR213" s="183">
        <f t="shared" si="799"/>
        <v>177</v>
      </c>
      <c r="DS213" s="183">
        <f t="shared" si="799"/>
        <v>10859592.155848799</v>
      </c>
      <c r="DT213" s="182">
        <v>176</v>
      </c>
      <c r="DU213" s="182">
        <v>10771019.175848799</v>
      </c>
      <c r="DV213" s="167">
        <f t="shared" si="817"/>
        <v>1</v>
      </c>
      <c r="DW213" s="167">
        <f t="shared" si="817"/>
        <v>88572.980000000447</v>
      </c>
    </row>
    <row r="214" spans="1:127" ht="30" customHeight="1" x14ac:dyDescent="0.25">
      <c r="A214" s="154"/>
      <c r="B214" s="176">
        <v>180</v>
      </c>
      <c r="C214" s="208" t="s">
        <v>513</v>
      </c>
      <c r="D214" s="178" t="s">
        <v>514</v>
      </c>
      <c r="E214" s="158">
        <v>25969</v>
      </c>
      <c r="F214" s="257">
        <v>4.0999999999999996</v>
      </c>
      <c r="G214" s="168">
        <v>1</v>
      </c>
      <c r="H214" s="169"/>
      <c r="I214" s="169"/>
      <c r="J214" s="169"/>
      <c r="K214" s="195">
        <v>0.79859999999999998</v>
      </c>
      <c r="L214" s="255">
        <v>1.4</v>
      </c>
      <c r="M214" s="255">
        <v>1.68</v>
      </c>
      <c r="N214" s="255">
        <v>2.23</v>
      </c>
      <c r="O214" s="256">
        <v>2.57</v>
      </c>
      <c r="P214" s="182">
        <v>139</v>
      </c>
      <c r="Q214" s="196">
        <f t="shared" si="818"/>
        <v>21182029.200976398</v>
      </c>
      <c r="R214" s="196"/>
      <c r="S214" s="196">
        <f t="shared" si="819"/>
        <v>0</v>
      </c>
      <c r="T214" s="196"/>
      <c r="U214" s="196">
        <f t="shared" si="820"/>
        <v>0</v>
      </c>
      <c r="V214" s="182"/>
      <c r="W214" s="196">
        <f t="shared" si="821"/>
        <v>0</v>
      </c>
      <c r="X214" s="196">
        <v>38</v>
      </c>
      <c r="Y214" s="196">
        <v>7147837.5296511985</v>
      </c>
      <c r="Z214" s="196">
        <v>0</v>
      </c>
      <c r="AA214" s="196">
        <v>0</v>
      </c>
      <c r="AB214" s="182">
        <f t="shared" si="801"/>
        <v>38</v>
      </c>
      <c r="AC214" s="182">
        <f t="shared" si="801"/>
        <v>7147837.5296511985</v>
      </c>
      <c r="AD214" s="182"/>
      <c r="AE214" s="196">
        <f t="shared" si="822"/>
        <v>0</v>
      </c>
      <c r="AF214" s="182"/>
      <c r="AG214" s="182"/>
      <c r="AH214" s="182"/>
      <c r="AI214" s="196">
        <f t="shared" si="823"/>
        <v>0</v>
      </c>
      <c r="AJ214" s="196"/>
      <c r="AK214" s="196"/>
      <c r="AL214" s="182"/>
      <c r="AM214" s="182"/>
      <c r="AN214" s="205"/>
      <c r="AO214" s="196">
        <f t="shared" si="824"/>
        <v>0</v>
      </c>
      <c r="AP214" s="182"/>
      <c r="AQ214" s="196">
        <f t="shared" si="825"/>
        <v>0</v>
      </c>
      <c r="AR214" s="182"/>
      <c r="AS214" s="196">
        <f t="shared" si="826"/>
        <v>0</v>
      </c>
      <c r="AT214" s="182"/>
      <c r="AU214" s="196">
        <f t="shared" si="827"/>
        <v>0</v>
      </c>
      <c r="AV214" s="186">
        <v>4</v>
      </c>
      <c r="AW214" s="196">
        <v>830371.73</v>
      </c>
      <c r="AX214" s="182"/>
      <c r="AY214" s="196">
        <f t="shared" si="828"/>
        <v>0</v>
      </c>
      <c r="AZ214" s="182"/>
      <c r="BA214" s="182"/>
      <c r="BB214" s="182"/>
      <c r="BC214" s="182"/>
      <c r="BD214" s="182"/>
      <c r="BE214" s="182"/>
      <c r="BF214" s="182"/>
      <c r="BG214" s="182"/>
      <c r="BH214" s="182"/>
      <c r="BI214" s="182"/>
      <c r="BJ214" s="182"/>
      <c r="BK214" s="182"/>
      <c r="BL214" s="182"/>
      <c r="BM214" s="182"/>
      <c r="BN214" s="182"/>
      <c r="BO214" s="182"/>
      <c r="BP214" s="182"/>
      <c r="BQ214" s="182"/>
      <c r="BR214" s="182"/>
      <c r="BS214" s="182"/>
      <c r="BT214" s="182"/>
      <c r="BU214" s="182"/>
      <c r="BV214" s="182"/>
      <c r="BW214" s="182"/>
      <c r="BX214" s="182"/>
      <c r="BY214" s="182"/>
      <c r="BZ214" s="182"/>
      <c r="CA214" s="187"/>
      <c r="CB214" s="182"/>
      <c r="CC214" s="182"/>
      <c r="CD214" s="182"/>
      <c r="CE214" s="182"/>
      <c r="CF214" s="182"/>
      <c r="CG214" s="182"/>
      <c r="CH214" s="182"/>
      <c r="CI214" s="182"/>
      <c r="CJ214" s="182"/>
      <c r="CK214" s="182"/>
      <c r="CL214" s="182"/>
      <c r="CM214" s="182"/>
      <c r="CN214" s="182"/>
      <c r="CO214" s="182"/>
      <c r="CP214" s="182"/>
      <c r="CQ214" s="182"/>
      <c r="CR214" s="182"/>
      <c r="CS214" s="182"/>
      <c r="CT214" s="182"/>
      <c r="CU214" s="182"/>
      <c r="CV214" s="182"/>
      <c r="CW214" s="182">
        <v>0</v>
      </c>
      <c r="CX214" s="182"/>
      <c r="CY214" s="182"/>
      <c r="CZ214" s="182"/>
      <c r="DA214" s="182">
        <v>0</v>
      </c>
      <c r="DB214" s="188"/>
      <c r="DC214" s="182"/>
      <c r="DD214" s="182"/>
      <c r="DE214" s="187"/>
      <c r="DF214" s="182"/>
      <c r="DG214" s="182"/>
      <c r="DH214" s="189"/>
      <c r="DI214" s="182"/>
      <c r="DJ214" s="182"/>
      <c r="DK214" s="196">
        <f t="shared" si="829"/>
        <v>0</v>
      </c>
      <c r="DL214" s="182"/>
      <c r="DM214" s="182"/>
      <c r="DN214" s="182"/>
      <c r="DO214" s="187"/>
      <c r="DP214" s="187"/>
      <c r="DQ214" s="187"/>
      <c r="DR214" s="183">
        <f t="shared" si="799"/>
        <v>181</v>
      </c>
      <c r="DS214" s="183">
        <f t="shared" si="799"/>
        <v>29160238.460627597</v>
      </c>
      <c r="DT214" s="182">
        <v>179</v>
      </c>
      <c r="DU214" s="182">
        <v>28772731.644097358</v>
      </c>
      <c r="DV214" s="167">
        <f t="shared" si="817"/>
        <v>2</v>
      </c>
      <c r="DW214" s="167">
        <f t="shared" si="817"/>
        <v>387506.81653023884</v>
      </c>
    </row>
    <row r="215" spans="1:127" ht="30" customHeight="1" x14ac:dyDescent="0.25">
      <c r="A215" s="154"/>
      <c r="B215" s="176">
        <v>181</v>
      </c>
      <c r="C215" s="208" t="s">
        <v>515</v>
      </c>
      <c r="D215" s="178" t="s">
        <v>516</v>
      </c>
      <c r="E215" s="158">
        <v>25969</v>
      </c>
      <c r="F215" s="257">
        <v>7.78</v>
      </c>
      <c r="G215" s="168">
        <v>1</v>
      </c>
      <c r="H215" s="169"/>
      <c r="I215" s="169"/>
      <c r="J215" s="169"/>
      <c r="K215" s="195">
        <v>0.79859999999999998</v>
      </c>
      <c r="L215" s="255">
        <v>1.4</v>
      </c>
      <c r="M215" s="255">
        <v>1.68</v>
      </c>
      <c r="N215" s="255">
        <v>2.23</v>
      </c>
      <c r="O215" s="256">
        <v>2.57</v>
      </c>
      <c r="P215" s="182">
        <v>63</v>
      </c>
      <c r="Q215" s="196">
        <f t="shared" si="818"/>
        <v>18217511.480201039</v>
      </c>
      <c r="R215" s="196"/>
      <c r="S215" s="196">
        <f t="shared" si="819"/>
        <v>0</v>
      </c>
      <c r="T215" s="196"/>
      <c r="U215" s="196">
        <f t="shared" si="820"/>
        <v>0</v>
      </c>
      <c r="V215" s="182"/>
      <c r="W215" s="196">
        <f t="shared" si="821"/>
        <v>0</v>
      </c>
      <c r="X215" s="196">
        <v>10</v>
      </c>
      <c r="Y215" s="196">
        <v>3569330.9358591996</v>
      </c>
      <c r="Z215" s="196">
        <v>0</v>
      </c>
      <c r="AA215" s="196">
        <v>0</v>
      </c>
      <c r="AB215" s="182">
        <f t="shared" si="801"/>
        <v>10</v>
      </c>
      <c r="AC215" s="182">
        <f t="shared" si="801"/>
        <v>3569330.9358591996</v>
      </c>
      <c r="AD215" s="182"/>
      <c r="AE215" s="196">
        <f t="shared" si="822"/>
        <v>0</v>
      </c>
      <c r="AF215" s="182"/>
      <c r="AG215" s="182"/>
      <c r="AH215" s="182"/>
      <c r="AI215" s="196">
        <f t="shared" si="823"/>
        <v>0</v>
      </c>
      <c r="AJ215" s="196"/>
      <c r="AK215" s="196"/>
      <c r="AL215" s="182"/>
      <c r="AM215" s="182"/>
      <c r="AN215" s="205"/>
      <c r="AO215" s="196">
        <f t="shared" si="824"/>
        <v>0</v>
      </c>
      <c r="AP215" s="182"/>
      <c r="AQ215" s="196">
        <f t="shared" si="825"/>
        <v>0</v>
      </c>
      <c r="AR215" s="182"/>
      <c r="AS215" s="196">
        <f t="shared" si="826"/>
        <v>0</v>
      </c>
      <c r="AT215" s="182"/>
      <c r="AU215" s="196">
        <f t="shared" si="827"/>
        <v>0</v>
      </c>
      <c r="AV215" s="186">
        <v>0</v>
      </c>
      <c r="AW215" s="196">
        <v>0</v>
      </c>
      <c r="AX215" s="182"/>
      <c r="AY215" s="196">
        <f t="shared" si="828"/>
        <v>0</v>
      </c>
      <c r="AZ215" s="182"/>
      <c r="BA215" s="182"/>
      <c r="BB215" s="182"/>
      <c r="BC215" s="182"/>
      <c r="BD215" s="182"/>
      <c r="BE215" s="182"/>
      <c r="BF215" s="182"/>
      <c r="BG215" s="182"/>
      <c r="BH215" s="182"/>
      <c r="BI215" s="182"/>
      <c r="BJ215" s="182"/>
      <c r="BK215" s="182"/>
      <c r="BL215" s="182"/>
      <c r="BM215" s="182"/>
      <c r="BN215" s="182"/>
      <c r="BO215" s="182"/>
      <c r="BP215" s="182"/>
      <c r="BQ215" s="182"/>
      <c r="BR215" s="182"/>
      <c r="BS215" s="182"/>
      <c r="BT215" s="182"/>
      <c r="BU215" s="182"/>
      <c r="BV215" s="182"/>
      <c r="BW215" s="182"/>
      <c r="BX215" s="182"/>
      <c r="BY215" s="182"/>
      <c r="BZ215" s="182"/>
      <c r="CA215" s="187"/>
      <c r="CB215" s="182"/>
      <c r="CC215" s="182"/>
      <c r="CD215" s="182"/>
      <c r="CE215" s="182"/>
      <c r="CF215" s="182"/>
      <c r="CG215" s="182"/>
      <c r="CH215" s="182"/>
      <c r="CI215" s="182"/>
      <c r="CJ215" s="182"/>
      <c r="CK215" s="182"/>
      <c r="CL215" s="182"/>
      <c r="CM215" s="182"/>
      <c r="CN215" s="182"/>
      <c r="CO215" s="182"/>
      <c r="CP215" s="182"/>
      <c r="CQ215" s="182"/>
      <c r="CR215" s="182"/>
      <c r="CS215" s="182"/>
      <c r="CT215" s="182"/>
      <c r="CU215" s="182"/>
      <c r="CV215" s="182"/>
      <c r="CW215" s="182">
        <v>0</v>
      </c>
      <c r="CX215" s="182"/>
      <c r="CY215" s="182"/>
      <c r="CZ215" s="182"/>
      <c r="DA215" s="182">
        <v>0</v>
      </c>
      <c r="DB215" s="188"/>
      <c r="DC215" s="182"/>
      <c r="DD215" s="182"/>
      <c r="DE215" s="187"/>
      <c r="DF215" s="182"/>
      <c r="DG215" s="182"/>
      <c r="DH215" s="189"/>
      <c r="DI215" s="182"/>
      <c r="DJ215" s="182"/>
      <c r="DK215" s="196">
        <f t="shared" si="829"/>
        <v>0</v>
      </c>
      <c r="DL215" s="182"/>
      <c r="DM215" s="182"/>
      <c r="DN215" s="182"/>
      <c r="DO215" s="187"/>
      <c r="DP215" s="187"/>
      <c r="DQ215" s="187"/>
      <c r="DR215" s="183">
        <f t="shared" si="799"/>
        <v>73</v>
      </c>
      <c r="DS215" s="183">
        <f t="shared" si="799"/>
        <v>21786842.416060239</v>
      </c>
      <c r="DT215" s="182">
        <v>73</v>
      </c>
      <c r="DU215" s="182">
        <v>21786842.416060239</v>
      </c>
      <c r="DV215" s="167">
        <f t="shared" si="817"/>
        <v>0</v>
      </c>
      <c r="DW215" s="167">
        <f t="shared" si="817"/>
        <v>0</v>
      </c>
    </row>
    <row r="216" spans="1:127" ht="53.25" customHeight="1" x14ac:dyDescent="0.25">
      <c r="A216" s="154"/>
      <c r="B216" s="176">
        <v>182</v>
      </c>
      <c r="C216" s="208" t="s">
        <v>517</v>
      </c>
      <c r="D216" s="178" t="s">
        <v>518</v>
      </c>
      <c r="E216" s="158">
        <v>25969</v>
      </c>
      <c r="F216" s="257">
        <v>3.59</v>
      </c>
      <c r="G216" s="168">
        <v>1</v>
      </c>
      <c r="H216" s="169"/>
      <c r="I216" s="169"/>
      <c r="J216" s="169"/>
      <c r="K216" s="195">
        <v>0.32819999999999999</v>
      </c>
      <c r="L216" s="255">
        <v>1.4</v>
      </c>
      <c r="M216" s="255">
        <v>1.68</v>
      </c>
      <c r="N216" s="255">
        <v>2.23</v>
      </c>
      <c r="O216" s="256">
        <v>2.57</v>
      </c>
      <c r="P216" s="182">
        <v>116</v>
      </c>
      <c r="Q216" s="196">
        <f t="shared" si="818"/>
        <v>12731167.946642078</v>
      </c>
      <c r="R216" s="196"/>
      <c r="S216" s="196">
        <f t="shared" si="819"/>
        <v>0</v>
      </c>
      <c r="T216" s="196"/>
      <c r="U216" s="196">
        <f t="shared" si="820"/>
        <v>0</v>
      </c>
      <c r="V216" s="182"/>
      <c r="W216" s="196">
        <f t="shared" si="821"/>
        <v>0</v>
      </c>
      <c r="X216" s="196">
        <v>12</v>
      </c>
      <c r="Y216" s="196">
        <v>1471229.5934054398</v>
      </c>
      <c r="Z216" s="196">
        <v>0</v>
      </c>
      <c r="AA216" s="196">
        <v>0</v>
      </c>
      <c r="AB216" s="182">
        <f t="shared" si="801"/>
        <v>12</v>
      </c>
      <c r="AC216" s="182">
        <f t="shared" si="801"/>
        <v>1471229.5934054398</v>
      </c>
      <c r="AD216" s="182"/>
      <c r="AE216" s="196">
        <f t="shared" si="822"/>
        <v>0</v>
      </c>
      <c r="AF216" s="182"/>
      <c r="AG216" s="182"/>
      <c r="AH216" s="182"/>
      <c r="AI216" s="196">
        <f t="shared" si="823"/>
        <v>0</v>
      </c>
      <c r="AJ216" s="196"/>
      <c r="AK216" s="196"/>
      <c r="AL216" s="182"/>
      <c r="AM216" s="182"/>
      <c r="AN216" s="205"/>
      <c r="AO216" s="196">
        <f t="shared" si="824"/>
        <v>0</v>
      </c>
      <c r="AP216" s="182"/>
      <c r="AQ216" s="196">
        <f t="shared" si="825"/>
        <v>0</v>
      </c>
      <c r="AR216" s="182"/>
      <c r="AS216" s="196">
        <f t="shared" si="826"/>
        <v>0</v>
      </c>
      <c r="AT216" s="182"/>
      <c r="AU216" s="196">
        <f t="shared" si="827"/>
        <v>0</v>
      </c>
      <c r="AV216" s="186">
        <v>3</v>
      </c>
      <c r="AW216" s="196">
        <v>403790.25</v>
      </c>
      <c r="AX216" s="182"/>
      <c r="AY216" s="196">
        <f t="shared" si="828"/>
        <v>0</v>
      </c>
      <c r="AZ216" s="182"/>
      <c r="BA216" s="182"/>
      <c r="BB216" s="182"/>
      <c r="BC216" s="182"/>
      <c r="BD216" s="182"/>
      <c r="BE216" s="182"/>
      <c r="BF216" s="182"/>
      <c r="BG216" s="182"/>
      <c r="BH216" s="182"/>
      <c r="BI216" s="182"/>
      <c r="BJ216" s="182"/>
      <c r="BK216" s="182"/>
      <c r="BL216" s="182"/>
      <c r="BM216" s="182"/>
      <c r="BN216" s="182"/>
      <c r="BO216" s="182"/>
      <c r="BP216" s="182"/>
      <c r="BQ216" s="182"/>
      <c r="BR216" s="182"/>
      <c r="BS216" s="182"/>
      <c r="BT216" s="182"/>
      <c r="BU216" s="182"/>
      <c r="BV216" s="182"/>
      <c r="BW216" s="182"/>
      <c r="BX216" s="182"/>
      <c r="BY216" s="182"/>
      <c r="BZ216" s="182"/>
      <c r="CA216" s="187"/>
      <c r="CB216" s="182"/>
      <c r="CC216" s="182"/>
      <c r="CD216" s="182"/>
      <c r="CE216" s="182"/>
      <c r="CF216" s="182"/>
      <c r="CG216" s="182"/>
      <c r="CH216" s="182"/>
      <c r="CI216" s="182"/>
      <c r="CJ216" s="182"/>
      <c r="CK216" s="182"/>
      <c r="CL216" s="182"/>
      <c r="CM216" s="182"/>
      <c r="CN216" s="182"/>
      <c r="CO216" s="182"/>
      <c r="CP216" s="182"/>
      <c r="CQ216" s="182"/>
      <c r="CR216" s="182"/>
      <c r="CS216" s="182"/>
      <c r="CT216" s="182"/>
      <c r="CU216" s="182"/>
      <c r="CV216" s="182"/>
      <c r="CW216" s="182">
        <v>0</v>
      </c>
      <c r="CX216" s="182"/>
      <c r="CY216" s="182"/>
      <c r="CZ216" s="182"/>
      <c r="DA216" s="182">
        <v>0</v>
      </c>
      <c r="DB216" s="188"/>
      <c r="DC216" s="182"/>
      <c r="DD216" s="182"/>
      <c r="DE216" s="187"/>
      <c r="DF216" s="182"/>
      <c r="DG216" s="182"/>
      <c r="DH216" s="189"/>
      <c r="DI216" s="182"/>
      <c r="DJ216" s="182"/>
      <c r="DK216" s="196">
        <f t="shared" si="829"/>
        <v>0</v>
      </c>
      <c r="DL216" s="182"/>
      <c r="DM216" s="182"/>
      <c r="DN216" s="182"/>
      <c r="DO216" s="187"/>
      <c r="DP216" s="187"/>
      <c r="DQ216" s="187"/>
      <c r="DR216" s="183">
        <f t="shared" si="799"/>
        <v>131</v>
      </c>
      <c r="DS216" s="183">
        <f t="shared" si="799"/>
        <v>14606187.790047519</v>
      </c>
      <c r="DT216" s="182">
        <v>132</v>
      </c>
      <c r="DU216" s="182">
        <v>14740784.539507294</v>
      </c>
      <c r="DV216" s="167">
        <f t="shared" si="817"/>
        <v>-1</v>
      </c>
      <c r="DW216" s="167">
        <f t="shared" si="817"/>
        <v>-134596.74945977516</v>
      </c>
    </row>
    <row r="217" spans="1:127" ht="43.5" customHeight="1" x14ac:dyDescent="0.25">
      <c r="A217" s="154"/>
      <c r="B217" s="176">
        <v>183</v>
      </c>
      <c r="C217" s="208" t="s">
        <v>519</v>
      </c>
      <c r="D217" s="178" t="s">
        <v>520</v>
      </c>
      <c r="E217" s="158">
        <v>25969</v>
      </c>
      <c r="F217" s="257">
        <v>6.24</v>
      </c>
      <c r="G217" s="168">
        <v>1</v>
      </c>
      <c r="H217" s="169"/>
      <c r="I217" s="169"/>
      <c r="J217" s="169"/>
      <c r="K217" s="195">
        <v>0.52810000000000001</v>
      </c>
      <c r="L217" s="255">
        <v>1.4</v>
      </c>
      <c r="M217" s="255">
        <v>1.68</v>
      </c>
      <c r="N217" s="255">
        <v>2.23</v>
      </c>
      <c r="O217" s="256">
        <v>2.57</v>
      </c>
      <c r="P217" s="182">
        <v>52</v>
      </c>
      <c r="Q217" s="196">
        <f t="shared" si="818"/>
        <v>10829417.336474882</v>
      </c>
      <c r="R217" s="196"/>
      <c r="S217" s="196">
        <f t="shared" si="819"/>
        <v>0</v>
      </c>
      <c r="T217" s="196"/>
      <c r="U217" s="196">
        <f t="shared" si="820"/>
        <v>0</v>
      </c>
      <c r="V217" s="182"/>
      <c r="W217" s="196">
        <f t="shared" si="821"/>
        <v>0</v>
      </c>
      <c r="X217" s="196">
        <v>63</v>
      </c>
      <c r="Y217" s="196">
        <v>15384617.438561281</v>
      </c>
      <c r="Z217" s="196">
        <v>0</v>
      </c>
      <c r="AA217" s="196">
        <v>0</v>
      </c>
      <c r="AB217" s="182">
        <f t="shared" si="801"/>
        <v>63</v>
      </c>
      <c r="AC217" s="182">
        <f t="shared" si="801"/>
        <v>15384617.438561281</v>
      </c>
      <c r="AD217" s="182"/>
      <c r="AE217" s="196">
        <f t="shared" si="822"/>
        <v>0</v>
      </c>
      <c r="AF217" s="182"/>
      <c r="AG217" s="182"/>
      <c r="AH217" s="182"/>
      <c r="AI217" s="196">
        <f t="shared" si="823"/>
        <v>0</v>
      </c>
      <c r="AJ217" s="196"/>
      <c r="AK217" s="196"/>
      <c r="AL217" s="182"/>
      <c r="AM217" s="182"/>
      <c r="AN217" s="205"/>
      <c r="AO217" s="196">
        <f t="shared" si="824"/>
        <v>0</v>
      </c>
      <c r="AP217" s="182"/>
      <c r="AQ217" s="196">
        <f t="shared" si="825"/>
        <v>0</v>
      </c>
      <c r="AR217" s="182"/>
      <c r="AS217" s="196">
        <f t="shared" si="826"/>
        <v>0</v>
      </c>
      <c r="AT217" s="182"/>
      <c r="AU217" s="196">
        <f t="shared" si="827"/>
        <v>0</v>
      </c>
      <c r="AV217" s="186">
        <v>0</v>
      </c>
      <c r="AW217" s="196">
        <v>0</v>
      </c>
      <c r="AX217" s="182"/>
      <c r="AY217" s="196">
        <f t="shared" si="828"/>
        <v>0</v>
      </c>
      <c r="AZ217" s="182"/>
      <c r="BA217" s="182"/>
      <c r="BB217" s="182"/>
      <c r="BC217" s="182"/>
      <c r="BD217" s="182"/>
      <c r="BE217" s="182"/>
      <c r="BF217" s="182"/>
      <c r="BG217" s="182"/>
      <c r="BH217" s="182"/>
      <c r="BI217" s="182"/>
      <c r="BJ217" s="182"/>
      <c r="BK217" s="182"/>
      <c r="BL217" s="182"/>
      <c r="BM217" s="182"/>
      <c r="BN217" s="182"/>
      <c r="BO217" s="182"/>
      <c r="BP217" s="182"/>
      <c r="BQ217" s="182"/>
      <c r="BR217" s="182"/>
      <c r="BS217" s="182"/>
      <c r="BT217" s="182"/>
      <c r="BU217" s="182"/>
      <c r="BV217" s="182"/>
      <c r="BW217" s="182"/>
      <c r="BX217" s="182"/>
      <c r="BY217" s="182"/>
      <c r="BZ217" s="182"/>
      <c r="CA217" s="187"/>
      <c r="CB217" s="182"/>
      <c r="CC217" s="182"/>
      <c r="CD217" s="182"/>
      <c r="CE217" s="182"/>
      <c r="CF217" s="182"/>
      <c r="CG217" s="182"/>
      <c r="CH217" s="182"/>
      <c r="CI217" s="182"/>
      <c r="CJ217" s="182"/>
      <c r="CK217" s="182"/>
      <c r="CL217" s="182"/>
      <c r="CM217" s="182"/>
      <c r="CN217" s="182"/>
      <c r="CO217" s="182"/>
      <c r="CP217" s="182"/>
      <c r="CQ217" s="182"/>
      <c r="CR217" s="182"/>
      <c r="CS217" s="182"/>
      <c r="CT217" s="182"/>
      <c r="CU217" s="182"/>
      <c r="CV217" s="182"/>
      <c r="CW217" s="182">
        <v>0</v>
      </c>
      <c r="CX217" s="182"/>
      <c r="CY217" s="182"/>
      <c r="CZ217" s="182"/>
      <c r="DA217" s="182">
        <v>0</v>
      </c>
      <c r="DB217" s="188"/>
      <c r="DC217" s="182"/>
      <c r="DD217" s="182"/>
      <c r="DE217" s="187"/>
      <c r="DF217" s="182"/>
      <c r="DG217" s="182"/>
      <c r="DH217" s="189"/>
      <c r="DI217" s="182"/>
      <c r="DJ217" s="182"/>
      <c r="DK217" s="196">
        <f t="shared" si="829"/>
        <v>0</v>
      </c>
      <c r="DL217" s="182"/>
      <c r="DM217" s="182"/>
      <c r="DN217" s="182"/>
      <c r="DO217" s="187"/>
      <c r="DP217" s="187"/>
      <c r="DQ217" s="187"/>
      <c r="DR217" s="183">
        <f t="shared" si="799"/>
        <v>115</v>
      </c>
      <c r="DS217" s="183">
        <f t="shared" si="799"/>
        <v>26214034.775036164</v>
      </c>
      <c r="DT217" s="182">
        <v>115</v>
      </c>
      <c r="DU217" s="182">
        <v>26214034.775036164</v>
      </c>
      <c r="DV217" s="167">
        <f t="shared" si="817"/>
        <v>0</v>
      </c>
      <c r="DW217" s="167">
        <f t="shared" si="817"/>
        <v>0</v>
      </c>
    </row>
    <row r="218" spans="1:127" ht="41.25" customHeight="1" x14ac:dyDescent="0.25">
      <c r="A218" s="154"/>
      <c r="B218" s="176">
        <v>184</v>
      </c>
      <c r="C218" s="208" t="s">
        <v>521</v>
      </c>
      <c r="D218" s="178" t="s">
        <v>522</v>
      </c>
      <c r="E218" s="158">
        <v>25969</v>
      </c>
      <c r="F218" s="257">
        <v>9.5399999999999991</v>
      </c>
      <c r="G218" s="168">
        <v>1</v>
      </c>
      <c r="H218" s="169"/>
      <c r="I218" s="169"/>
      <c r="J218" s="169"/>
      <c r="K218" s="195">
        <v>0.62160000000000004</v>
      </c>
      <c r="L218" s="255">
        <v>1.4</v>
      </c>
      <c r="M218" s="255">
        <v>1.68</v>
      </c>
      <c r="N218" s="255">
        <v>2.23</v>
      </c>
      <c r="O218" s="256">
        <v>2.57</v>
      </c>
      <c r="P218" s="182">
        <v>13</v>
      </c>
      <c r="Q218" s="196">
        <f t="shared" si="818"/>
        <v>4301740.1607523197</v>
      </c>
      <c r="R218" s="196"/>
      <c r="S218" s="196">
        <f t="shared" si="819"/>
        <v>0</v>
      </c>
      <c r="T218" s="196"/>
      <c r="U218" s="196">
        <f t="shared" si="820"/>
        <v>0</v>
      </c>
      <c r="V218" s="182"/>
      <c r="W218" s="196">
        <f t="shared" si="821"/>
        <v>0</v>
      </c>
      <c r="X218" s="196">
        <v>19</v>
      </c>
      <c r="Y218" s="196">
        <v>7516061.3959718393</v>
      </c>
      <c r="Z218" s="196">
        <v>0</v>
      </c>
      <c r="AA218" s="196">
        <v>0</v>
      </c>
      <c r="AB218" s="182">
        <f t="shared" si="801"/>
        <v>19</v>
      </c>
      <c r="AC218" s="182">
        <f t="shared" si="801"/>
        <v>7516061.3959718393</v>
      </c>
      <c r="AD218" s="182"/>
      <c r="AE218" s="196">
        <f t="shared" si="822"/>
        <v>0</v>
      </c>
      <c r="AF218" s="182"/>
      <c r="AG218" s="182"/>
      <c r="AH218" s="182"/>
      <c r="AI218" s="196">
        <f t="shared" si="823"/>
        <v>0</v>
      </c>
      <c r="AJ218" s="196"/>
      <c r="AK218" s="196"/>
      <c r="AL218" s="182"/>
      <c r="AM218" s="182"/>
      <c r="AN218" s="205"/>
      <c r="AO218" s="196">
        <f t="shared" si="824"/>
        <v>0</v>
      </c>
      <c r="AP218" s="182"/>
      <c r="AQ218" s="196">
        <f t="shared" si="825"/>
        <v>0</v>
      </c>
      <c r="AR218" s="182"/>
      <c r="AS218" s="196">
        <f t="shared" si="826"/>
        <v>0</v>
      </c>
      <c r="AT218" s="182"/>
      <c r="AU218" s="196">
        <f t="shared" si="827"/>
        <v>0</v>
      </c>
      <c r="AV218" s="186">
        <v>0</v>
      </c>
      <c r="AW218" s="196">
        <v>0</v>
      </c>
      <c r="AX218" s="182"/>
      <c r="AY218" s="196">
        <f t="shared" si="828"/>
        <v>0</v>
      </c>
      <c r="AZ218" s="182"/>
      <c r="BA218" s="182"/>
      <c r="BB218" s="182"/>
      <c r="BC218" s="182"/>
      <c r="BD218" s="182"/>
      <c r="BE218" s="182"/>
      <c r="BF218" s="182"/>
      <c r="BG218" s="182"/>
      <c r="BH218" s="182"/>
      <c r="BI218" s="182"/>
      <c r="BJ218" s="182"/>
      <c r="BK218" s="182"/>
      <c r="BL218" s="182"/>
      <c r="BM218" s="182"/>
      <c r="BN218" s="182"/>
      <c r="BO218" s="182"/>
      <c r="BP218" s="182"/>
      <c r="BQ218" s="182"/>
      <c r="BR218" s="182"/>
      <c r="BS218" s="182"/>
      <c r="BT218" s="182"/>
      <c r="BU218" s="182"/>
      <c r="BV218" s="182"/>
      <c r="BW218" s="182"/>
      <c r="BX218" s="182"/>
      <c r="BY218" s="182"/>
      <c r="BZ218" s="182"/>
      <c r="CA218" s="187"/>
      <c r="CB218" s="182"/>
      <c r="CC218" s="182"/>
      <c r="CD218" s="182"/>
      <c r="CE218" s="182"/>
      <c r="CF218" s="182"/>
      <c r="CG218" s="182"/>
      <c r="CH218" s="182"/>
      <c r="CI218" s="182"/>
      <c r="CJ218" s="182"/>
      <c r="CK218" s="182"/>
      <c r="CL218" s="182"/>
      <c r="CM218" s="182"/>
      <c r="CN218" s="182"/>
      <c r="CO218" s="182"/>
      <c r="CP218" s="182"/>
      <c r="CQ218" s="182"/>
      <c r="CR218" s="182"/>
      <c r="CS218" s="182"/>
      <c r="CT218" s="182"/>
      <c r="CU218" s="182"/>
      <c r="CV218" s="182"/>
      <c r="CW218" s="182">
        <v>0</v>
      </c>
      <c r="CX218" s="182"/>
      <c r="CY218" s="182"/>
      <c r="CZ218" s="182"/>
      <c r="DA218" s="182">
        <v>0</v>
      </c>
      <c r="DB218" s="188"/>
      <c r="DC218" s="182"/>
      <c r="DD218" s="182"/>
      <c r="DE218" s="187"/>
      <c r="DF218" s="182"/>
      <c r="DG218" s="182"/>
      <c r="DH218" s="189"/>
      <c r="DI218" s="182"/>
      <c r="DJ218" s="182"/>
      <c r="DK218" s="196">
        <f t="shared" si="829"/>
        <v>0</v>
      </c>
      <c r="DL218" s="182"/>
      <c r="DM218" s="182"/>
      <c r="DN218" s="182"/>
      <c r="DO218" s="187"/>
      <c r="DP218" s="187"/>
      <c r="DQ218" s="187"/>
      <c r="DR218" s="183">
        <f t="shared" si="799"/>
        <v>32</v>
      </c>
      <c r="DS218" s="183">
        <f t="shared" si="799"/>
        <v>11817801.556724159</v>
      </c>
      <c r="DT218" s="182">
        <v>32</v>
      </c>
      <c r="DU218" s="182">
        <v>11817801.556724159</v>
      </c>
      <c r="DV218" s="167">
        <f t="shared" si="817"/>
        <v>0</v>
      </c>
      <c r="DW218" s="167">
        <f t="shared" si="817"/>
        <v>0</v>
      </c>
    </row>
    <row r="219" spans="1:127" ht="43.5" customHeight="1" x14ac:dyDescent="0.25">
      <c r="A219" s="154"/>
      <c r="B219" s="176">
        <v>185</v>
      </c>
      <c r="C219" s="208" t="s">
        <v>523</v>
      </c>
      <c r="D219" s="178" t="s">
        <v>524</v>
      </c>
      <c r="E219" s="158">
        <v>25969</v>
      </c>
      <c r="F219" s="257">
        <v>13.88</v>
      </c>
      <c r="G219" s="168">
        <v>1</v>
      </c>
      <c r="H219" s="169"/>
      <c r="I219" s="169"/>
      <c r="J219" s="169"/>
      <c r="K219" s="195">
        <v>6.3399999999999998E-2</v>
      </c>
      <c r="L219" s="255">
        <v>1.4</v>
      </c>
      <c r="M219" s="255">
        <v>1.68</v>
      </c>
      <c r="N219" s="255">
        <v>2.23</v>
      </c>
      <c r="O219" s="256">
        <v>2.57</v>
      </c>
      <c r="P219" s="182">
        <v>81</v>
      </c>
      <c r="Q219" s="196">
        <f t="shared" si="818"/>
        <v>30195996.205727518</v>
      </c>
      <c r="R219" s="196"/>
      <c r="S219" s="196">
        <f t="shared" si="819"/>
        <v>0</v>
      </c>
      <c r="T219" s="196"/>
      <c r="U219" s="196">
        <f t="shared" si="820"/>
        <v>0</v>
      </c>
      <c r="V219" s="182"/>
      <c r="W219" s="196">
        <f t="shared" si="821"/>
        <v>0</v>
      </c>
      <c r="X219" s="196"/>
      <c r="Y219" s="196">
        <v>0</v>
      </c>
      <c r="Z219" s="196">
        <v>1</v>
      </c>
      <c r="AA219" s="196">
        <v>391346.31655929598</v>
      </c>
      <c r="AB219" s="182">
        <f t="shared" si="801"/>
        <v>1</v>
      </c>
      <c r="AC219" s="182">
        <f t="shared" si="801"/>
        <v>391346.31655929598</v>
      </c>
      <c r="AD219" s="182"/>
      <c r="AE219" s="196">
        <f t="shared" si="822"/>
        <v>0</v>
      </c>
      <c r="AF219" s="182"/>
      <c r="AG219" s="182"/>
      <c r="AH219" s="182"/>
      <c r="AI219" s="196">
        <f t="shared" si="823"/>
        <v>0</v>
      </c>
      <c r="AJ219" s="196"/>
      <c r="AK219" s="196"/>
      <c r="AL219" s="182"/>
      <c r="AM219" s="182"/>
      <c r="AN219" s="205"/>
      <c r="AO219" s="196">
        <f t="shared" si="824"/>
        <v>0</v>
      </c>
      <c r="AP219" s="182"/>
      <c r="AQ219" s="196">
        <f t="shared" si="825"/>
        <v>0</v>
      </c>
      <c r="AR219" s="182"/>
      <c r="AS219" s="196">
        <f t="shared" si="826"/>
        <v>0</v>
      </c>
      <c r="AT219" s="182"/>
      <c r="AU219" s="196">
        <f t="shared" si="827"/>
        <v>0</v>
      </c>
      <c r="AV219" s="186">
        <v>15</v>
      </c>
      <c r="AW219" s="196">
        <v>5870194.8000000007</v>
      </c>
      <c r="AX219" s="182"/>
      <c r="AY219" s="196">
        <f t="shared" si="828"/>
        <v>0</v>
      </c>
      <c r="AZ219" s="182"/>
      <c r="BA219" s="182"/>
      <c r="BB219" s="182"/>
      <c r="BC219" s="182"/>
      <c r="BD219" s="182"/>
      <c r="BE219" s="182"/>
      <c r="BF219" s="182"/>
      <c r="BG219" s="182"/>
      <c r="BH219" s="182"/>
      <c r="BI219" s="182"/>
      <c r="BJ219" s="182"/>
      <c r="BK219" s="182"/>
      <c r="BL219" s="182"/>
      <c r="BM219" s="182"/>
      <c r="BN219" s="182"/>
      <c r="BO219" s="182"/>
      <c r="BP219" s="182"/>
      <c r="BQ219" s="182"/>
      <c r="BR219" s="182"/>
      <c r="BS219" s="182"/>
      <c r="BT219" s="182"/>
      <c r="BU219" s="182"/>
      <c r="BV219" s="182"/>
      <c r="BW219" s="182"/>
      <c r="BX219" s="182"/>
      <c r="BY219" s="182"/>
      <c r="BZ219" s="182"/>
      <c r="CA219" s="187"/>
      <c r="CB219" s="182"/>
      <c r="CC219" s="182"/>
      <c r="CD219" s="182"/>
      <c r="CE219" s="182"/>
      <c r="CF219" s="182"/>
      <c r="CG219" s="182"/>
      <c r="CH219" s="182"/>
      <c r="CI219" s="182"/>
      <c r="CJ219" s="182"/>
      <c r="CK219" s="182"/>
      <c r="CL219" s="182"/>
      <c r="CM219" s="182"/>
      <c r="CN219" s="182"/>
      <c r="CO219" s="182"/>
      <c r="CP219" s="182"/>
      <c r="CQ219" s="182"/>
      <c r="CR219" s="182"/>
      <c r="CS219" s="182"/>
      <c r="CT219" s="182"/>
      <c r="CU219" s="182"/>
      <c r="CV219" s="182"/>
      <c r="CW219" s="182">
        <v>0</v>
      </c>
      <c r="CX219" s="182"/>
      <c r="CY219" s="182"/>
      <c r="CZ219" s="182"/>
      <c r="DA219" s="182">
        <v>0</v>
      </c>
      <c r="DB219" s="188"/>
      <c r="DC219" s="182"/>
      <c r="DD219" s="182"/>
      <c r="DE219" s="187"/>
      <c r="DF219" s="182"/>
      <c r="DG219" s="182"/>
      <c r="DH219" s="189"/>
      <c r="DI219" s="182"/>
      <c r="DJ219" s="182"/>
      <c r="DK219" s="196">
        <f t="shared" si="829"/>
        <v>0</v>
      </c>
      <c r="DL219" s="182"/>
      <c r="DM219" s="182"/>
      <c r="DN219" s="182"/>
      <c r="DO219" s="187"/>
      <c r="DP219" s="187"/>
      <c r="DQ219" s="187"/>
      <c r="DR219" s="183">
        <f t="shared" si="799"/>
        <v>97</v>
      </c>
      <c r="DS219" s="183">
        <f t="shared" si="799"/>
        <v>36457537.322286814</v>
      </c>
      <c r="DT219" s="182">
        <v>95</v>
      </c>
      <c r="DU219" s="182">
        <v>35674844.637557663</v>
      </c>
      <c r="DV219" s="167">
        <f t="shared" si="817"/>
        <v>2</v>
      </c>
      <c r="DW219" s="167">
        <f t="shared" si="817"/>
        <v>782692.68472915143</v>
      </c>
    </row>
    <row r="220" spans="1:127" ht="42" customHeight="1" x14ac:dyDescent="0.25">
      <c r="A220" s="154"/>
      <c r="B220" s="176">
        <v>186</v>
      </c>
      <c r="C220" s="208" t="s">
        <v>525</v>
      </c>
      <c r="D220" s="178" t="s">
        <v>526</v>
      </c>
      <c r="E220" s="158">
        <v>25969</v>
      </c>
      <c r="F220" s="257">
        <v>16.87</v>
      </c>
      <c r="G220" s="168">
        <v>1</v>
      </c>
      <c r="H220" s="169"/>
      <c r="I220" s="169"/>
      <c r="J220" s="169"/>
      <c r="K220" s="195">
        <v>0.19389999999999999</v>
      </c>
      <c r="L220" s="255">
        <v>1.4</v>
      </c>
      <c r="M220" s="255">
        <v>1.68</v>
      </c>
      <c r="N220" s="255">
        <v>2.23</v>
      </c>
      <c r="O220" s="256">
        <v>2.57</v>
      </c>
      <c r="P220" s="182">
        <v>131</v>
      </c>
      <c r="Q220" s="196">
        <f t="shared" si="818"/>
        <v>63399862.708636574</v>
      </c>
      <c r="R220" s="196"/>
      <c r="S220" s="196">
        <f t="shared" si="819"/>
        <v>0</v>
      </c>
      <c r="T220" s="196"/>
      <c r="U220" s="196">
        <f t="shared" si="820"/>
        <v>0</v>
      </c>
      <c r="V220" s="182"/>
      <c r="W220" s="196">
        <f t="shared" si="821"/>
        <v>0</v>
      </c>
      <c r="X220" s="196">
        <v>7</v>
      </c>
      <c r="Y220" s="196">
        <v>3637523.1448662402</v>
      </c>
      <c r="Z220" s="196">
        <v>1</v>
      </c>
      <c r="AA220" s="196">
        <v>552945.39308618405</v>
      </c>
      <c r="AB220" s="182">
        <f t="shared" si="801"/>
        <v>8</v>
      </c>
      <c r="AC220" s="182">
        <f t="shared" si="801"/>
        <v>4190468.537952424</v>
      </c>
      <c r="AD220" s="182"/>
      <c r="AE220" s="196">
        <f t="shared" si="822"/>
        <v>0</v>
      </c>
      <c r="AF220" s="182"/>
      <c r="AG220" s="182"/>
      <c r="AH220" s="182"/>
      <c r="AI220" s="196">
        <f t="shared" si="823"/>
        <v>0</v>
      </c>
      <c r="AJ220" s="196"/>
      <c r="AK220" s="196"/>
      <c r="AL220" s="182"/>
      <c r="AM220" s="182"/>
      <c r="AN220" s="205"/>
      <c r="AO220" s="196">
        <f t="shared" si="824"/>
        <v>0</v>
      </c>
      <c r="AP220" s="182"/>
      <c r="AQ220" s="196">
        <f t="shared" si="825"/>
        <v>0</v>
      </c>
      <c r="AR220" s="182"/>
      <c r="AS220" s="196">
        <f t="shared" si="826"/>
        <v>0</v>
      </c>
      <c r="AT220" s="182"/>
      <c r="AU220" s="196">
        <f t="shared" si="827"/>
        <v>0</v>
      </c>
      <c r="AV220" s="186">
        <v>7</v>
      </c>
      <c r="AW220" s="196">
        <v>3870617.7300000004</v>
      </c>
      <c r="AX220" s="182"/>
      <c r="AY220" s="196">
        <f t="shared" si="828"/>
        <v>0</v>
      </c>
      <c r="AZ220" s="182"/>
      <c r="BA220" s="182"/>
      <c r="BB220" s="182"/>
      <c r="BC220" s="182"/>
      <c r="BD220" s="182"/>
      <c r="BE220" s="182"/>
      <c r="BF220" s="182"/>
      <c r="BG220" s="182"/>
      <c r="BH220" s="182"/>
      <c r="BI220" s="182"/>
      <c r="BJ220" s="182"/>
      <c r="BK220" s="182"/>
      <c r="BL220" s="182"/>
      <c r="BM220" s="182"/>
      <c r="BN220" s="182"/>
      <c r="BO220" s="182"/>
      <c r="BP220" s="182"/>
      <c r="BQ220" s="182"/>
      <c r="BR220" s="182"/>
      <c r="BS220" s="182"/>
      <c r="BT220" s="182"/>
      <c r="BU220" s="182"/>
      <c r="BV220" s="182"/>
      <c r="BW220" s="182"/>
      <c r="BX220" s="182"/>
      <c r="BY220" s="182"/>
      <c r="BZ220" s="182"/>
      <c r="CA220" s="187"/>
      <c r="CB220" s="182"/>
      <c r="CC220" s="182"/>
      <c r="CD220" s="182"/>
      <c r="CE220" s="182"/>
      <c r="CF220" s="182"/>
      <c r="CG220" s="182"/>
      <c r="CH220" s="182"/>
      <c r="CI220" s="182"/>
      <c r="CJ220" s="182"/>
      <c r="CK220" s="182"/>
      <c r="CL220" s="182"/>
      <c r="CM220" s="182"/>
      <c r="CN220" s="182"/>
      <c r="CO220" s="182"/>
      <c r="CP220" s="182"/>
      <c r="CQ220" s="182"/>
      <c r="CR220" s="182"/>
      <c r="CS220" s="182"/>
      <c r="CT220" s="182"/>
      <c r="CU220" s="182"/>
      <c r="CV220" s="182"/>
      <c r="CW220" s="182">
        <v>0</v>
      </c>
      <c r="CX220" s="182"/>
      <c r="CY220" s="182"/>
      <c r="CZ220" s="182"/>
      <c r="DA220" s="182">
        <v>0</v>
      </c>
      <c r="DB220" s="188"/>
      <c r="DC220" s="182"/>
      <c r="DD220" s="182"/>
      <c r="DE220" s="187"/>
      <c r="DF220" s="182"/>
      <c r="DG220" s="182"/>
      <c r="DH220" s="189"/>
      <c r="DI220" s="182"/>
      <c r="DJ220" s="182"/>
      <c r="DK220" s="196">
        <f t="shared" si="829"/>
        <v>0</v>
      </c>
      <c r="DL220" s="182"/>
      <c r="DM220" s="182"/>
      <c r="DN220" s="182"/>
      <c r="DO220" s="187"/>
      <c r="DP220" s="187"/>
      <c r="DQ220" s="187"/>
      <c r="DR220" s="183">
        <f t="shared" si="799"/>
        <v>146</v>
      </c>
      <c r="DS220" s="183">
        <f t="shared" si="799"/>
        <v>71460948.976589009</v>
      </c>
      <c r="DT220" s="182">
        <v>144</v>
      </c>
      <c r="DU220" s="182">
        <v>70355058.21201992</v>
      </c>
      <c r="DV220" s="167">
        <f t="shared" si="817"/>
        <v>2</v>
      </c>
      <c r="DW220" s="167">
        <f t="shared" si="817"/>
        <v>1105890.7645690888</v>
      </c>
    </row>
    <row r="221" spans="1:127" ht="45" customHeight="1" x14ac:dyDescent="0.25">
      <c r="A221" s="154"/>
      <c r="B221" s="176">
        <v>187</v>
      </c>
      <c r="C221" s="208" t="s">
        <v>527</v>
      </c>
      <c r="D221" s="178" t="s">
        <v>528</v>
      </c>
      <c r="E221" s="158">
        <v>25969</v>
      </c>
      <c r="F221" s="257">
        <v>20.32</v>
      </c>
      <c r="G221" s="168">
        <v>1</v>
      </c>
      <c r="H221" s="169"/>
      <c r="I221" s="169"/>
      <c r="J221" s="169"/>
      <c r="K221" s="195">
        <v>0.2964</v>
      </c>
      <c r="L221" s="255">
        <v>1.4</v>
      </c>
      <c r="M221" s="255">
        <v>1.68</v>
      </c>
      <c r="N221" s="255">
        <v>2.23</v>
      </c>
      <c r="O221" s="256">
        <v>2.57</v>
      </c>
      <c r="P221" s="182">
        <v>27</v>
      </c>
      <c r="Q221" s="196">
        <f t="shared" si="818"/>
        <v>16528051.17300096</v>
      </c>
      <c r="R221" s="196"/>
      <c r="S221" s="196">
        <f t="shared" si="819"/>
        <v>0</v>
      </c>
      <c r="T221" s="196"/>
      <c r="U221" s="196">
        <f t="shared" si="820"/>
        <v>0</v>
      </c>
      <c r="V221" s="182"/>
      <c r="W221" s="196">
        <f t="shared" si="821"/>
        <v>0</v>
      </c>
      <c r="X221" s="196">
        <v>2</v>
      </c>
      <c r="Y221" s="196">
        <v>1355682.2522470397</v>
      </c>
      <c r="Z221" s="196">
        <v>0</v>
      </c>
      <c r="AA221" s="196">
        <v>0</v>
      </c>
      <c r="AB221" s="182">
        <f t="shared" si="801"/>
        <v>2</v>
      </c>
      <c r="AC221" s="182">
        <f t="shared" si="801"/>
        <v>1355682.2522470397</v>
      </c>
      <c r="AD221" s="182"/>
      <c r="AE221" s="196">
        <f t="shared" si="822"/>
        <v>0</v>
      </c>
      <c r="AF221" s="182"/>
      <c r="AG221" s="182"/>
      <c r="AH221" s="182"/>
      <c r="AI221" s="196">
        <f t="shared" si="823"/>
        <v>0</v>
      </c>
      <c r="AJ221" s="196"/>
      <c r="AK221" s="196"/>
      <c r="AL221" s="182"/>
      <c r="AM221" s="182"/>
      <c r="AN221" s="205"/>
      <c r="AO221" s="196">
        <f t="shared" si="824"/>
        <v>0</v>
      </c>
      <c r="AP221" s="182"/>
      <c r="AQ221" s="196">
        <f t="shared" si="825"/>
        <v>0</v>
      </c>
      <c r="AR221" s="182"/>
      <c r="AS221" s="196">
        <f t="shared" si="826"/>
        <v>0</v>
      </c>
      <c r="AT221" s="182"/>
      <c r="AU221" s="196">
        <f t="shared" si="827"/>
        <v>0</v>
      </c>
      <c r="AV221" s="186">
        <v>1</v>
      </c>
      <c r="AW221" s="196">
        <v>755513.27</v>
      </c>
      <c r="AX221" s="182"/>
      <c r="AY221" s="196">
        <f t="shared" si="828"/>
        <v>0</v>
      </c>
      <c r="AZ221" s="182"/>
      <c r="BA221" s="182"/>
      <c r="BB221" s="182"/>
      <c r="BC221" s="182"/>
      <c r="BD221" s="182"/>
      <c r="BE221" s="182"/>
      <c r="BF221" s="182"/>
      <c r="BG221" s="182"/>
      <c r="BH221" s="182"/>
      <c r="BI221" s="182"/>
      <c r="BJ221" s="182"/>
      <c r="BK221" s="182"/>
      <c r="BL221" s="182"/>
      <c r="BM221" s="182"/>
      <c r="BN221" s="182"/>
      <c r="BO221" s="182"/>
      <c r="BP221" s="182"/>
      <c r="BQ221" s="182"/>
      <c r="BR221" s="182"/>
      <c r="BS221" s="182"/>
      <c r="BT221" s="182"/>
      <c r="BU221" s="182"/>
      <c r="BV221" s="182"/>
      <c r="BW221" s="182"/>
      <c r="BX221" s="182"/>
      <c r="BY221" s="182"/>
      <c r="BZ221" s="182"/>
      <c r="CA221" s="187"/>
      <c r="CB221" s="182"/>
      <c r="CC221" s="182"/>
      <c r="CD221" s="182"/>
      <c r="CE221" s="182"/>
      <c r="CF221" s="182"/>
      <c r="CG221" s="182"/>
      <c r="CH221" s="182"/>
      <c r="CI221" s="182"/>
      <c r="CJ221" s="182"/>
      <c r="CK221" s="182"/>
      <c r="CL221" s="182"/>
      <c r="CM221" s="182"/>
      <c r="CN221" s="182"/>
      <c r="CO221" s="182"/>
      <c r="CP221" s="182"/>
      <c r="CQ221" s="182"/>
      <c r="CR221" s="182"/>
      <c r="CS221" s="182"/>
      <c r="CT221" s="182"/>
      <c r="CU221" s="182"/>
      <c r="CV221" s="182"/>
      <c r="CW221" s="182">
        <v>0</v>
      </c>
      <c r="CX221" s="182"/>
      <c r="CY221" s="182"/>
      <c r="CZ221" s="182"/>
      <c r="DA221" s="182">
        <v>0</v>
      </c>
      <c r="DB221" s="188"/>
      <c r="DC221" s="182"/>
      <c r="DD221" s="182"/>
      <c r="DE221" s="187"/>
      <c r="DF221" s="182"/>
      <c r="DG221" s="182"/>
      <c r="DH221" s="189"/>
      <c r="DI221" s="182"/>
      <c r="DJ221" s="182"/>
      <c r="DK221" s="196">
        <f t="shared" si="829"/>
        <v>0</v>
      </c>
      <c r="DL221" s="182"/>
      <c r="DM221" s="182"/>
      <c r="DN221" s="182"/>
      <c r="DO221" s="187"/>
      <c r="DP221" s="187"/>
      <c r="DQ221" s="187"/>
      <c r="DR221" s="183">
        <f t="shared" si="799"/>
        <v>30</v>
      </c>
      <c r="DS221" s="183">
        <f t="shared" si="799"/>
        <v>18639246.695248</v>
      </c>
      <c r="DT221" s="182">
        <v>29</v>
      </c>
      <c r="DU221" s="182">
        <v>17883733.425248001</v>
      </c>
      <c r="DV221" s="167">
        <f t="shared" si="817"/>
        <v>1</v>
      </c>
      <c r="DW221" s="167">
        <f t="shared" si="817"/>
        <v>755513.26999999955</v>
      </c>
    </row>
    <row r="222" spans="1:127" ht="30" customHeight="1" x14ac:dyDescent="0.25">
      <c r="A222" s="154"/>
      <c r="B222" s="176">
        <v>188</v>
      </c>
      <c r="C222" s="208" t="s">
        <v>529</v>
      </c>
      <c r="D222" s="178" t="s">
        <v>530</v>
      </c>
      <c r="E222" s="158">
        <v>25969</v>
      </c>
      <c r="F222" s="201">
        <v>2.64</v>
      </c>
      <c r="G222" s="168">
        <v>1</v>
      </c>
      <c r="H222" s="169"/>
      <c r="I222" s="169"/>
      <c r="J222" s="169"/>
      <c r="K222" s="258"/>
      <c r="L222" s="255">
        <v>1.4</v>
      </c>
      <c r="M222" s="255">
        <v>1.68</v>
      </c>
      <c r="N222" s="255">
        <v>2.23</v>
      </c>
      <c r="O222" s="256">
        <v>2.57</v>
      </c>
      <c r="P222" s="182">
        <v>0</v>
      </c>
      <c r="Q222" s="182">
        <f>(P222*$E222*$F222*$G222*$L222*$Q$12)</f>
        <v>0</v>
      </c>
      <c r="R222" s="182"/>
      <c r="S222" s="182">
        <f>(R222*$E222*$F222*$G222*$L222*$S$12)</f>
        <v>0</v>
      </c>
      <c r="T222" s="182"/>
      <c r="U222" s="182">
        <f t="shared" ref="U222:U223" si="830">(T222/12*11*$E222*$F222*$G222*$L222*$U$12)+(T222/12*1*$E222*$F222*$G222*$L222*$U$14)</f>
        <v>0</v>
      </c>
      <c r="V222" s="182"/>
      <c r="W222" s="183">
        <f t="shared" ref="W222:W223" si="831">(V222*$E222*$F222*$G222*$L222*$W$12)/12*10+(V222*$E222*$F222*$G222*$L222*$W$13)/12*1++(V222*$E222*$F222*$G222*$L222*$W$14)/12*1</f>
        <v>0</v>
      </c>
      <c r="X222" s="183"/>
      <c r="Y222" s="183">
        <v>0</v>
      </c>
      <c r="Z222" s="183">
        <v>0</v>
      </c>
      <c r="AA222" s="183">
        <v>0</v>
      </c>
      <c r="AB222" s="182">
        <f t="shared" si="801"/>
        <v>0</v>
      </c>
      <c r="AC222" s="182">
        <f t="shared" si="801"/>
        <v>0</v>
      </c>
      <c r="AD222" s="182"/>
      <c r="AE222" s="182">
        <f>(AD222*$E222*$F222*$G222*$L222*$AE$12)</f>
        <v>0</v>
      </c>
      <c r="AF222" s="182"/>
      <c r="AG222" s="182"/>
      <c r="AH222" s="182"/>
      <c r="AI222" s="182">
        <f>(AH222*$E222*$F222*$G222*$L222*$AI$12)</f>
        <v>0</v>
      </c>
      <c r="AJ222" s="182"/>
      <c r="AK222" s="182"/>
      <c r="AL222" s="182"/>
      <c r="AM222" s="182"/>
      <c r="AN222" s="205"/>
      <c r="AO222" s="182">
        <f>(AN222*$E222*$F222*$G222*$L222*$AO$12)</f>
        <v>0</v>
      </c>
      <c r="AP222" s="182"/>
      <c r="AQ222" s="183">
        <f>(AP222*$E222*$F222*$G222*$L222*$AQ$12)</f>
        <v>0</v>
      </c>
      <c r="AR222" s="182"/>
      <c r="AS222" s="182">
        <f t="shared" ref="AS222:AS223" si="832">(AR222*$E222*$F222*$G222*$L222*$AS$12)/12*10+(AR222*$E222*$F222*$G222*$L222*$AS$13)/12*1+(AR222*$E222*$F222*$G222*$L222*$AS$14)/12*1</f>
        <v>0</v>
      </c>
      <c r="AT222" s="182"/>
      <c r="AU222" s="182">
        <f>(AT222*$E222*$F222*$G222*$M222*$AU$12)</f>
        <v>0</v>
      </c>
      <c r="AV222" s="186">
        <v>0</v>
      </c>
      <c r="AW222" s="182">
        <v>0</v>
      </c>
      <c r="AX222" s="182"/>
      <c r="AY222" s="187">
        <f>(AX222*$E222*$F222*$G222*$M222*$AY$12)</f>
        <v>0</v>
      </c>
      <c r="AZ222" s="182"/>
      <c r="BA222" s="182">
        <f>(AZ222*$E222*$F222*$G222*$L222*$BA$12)</f>
        <v>0</v>
      </c>
      <c r="BB222" s="182"/>
      <c r="BC222" s="182">
        <f>(BB222*$E222*$F222*$G222*$L222*$BC$12)</f>
        <v>0</v>
      </c>
      <c r="BD222" s="182"/>
      <c r="BE222" s="182">
        <f>(BD222*$E222*$F222*$G222*$L222*$BE$12)</f>
        <v>0</v>
      </c>
      <c r="BF222" s="182"/>
      <c r="BG222" s="182">
        <f>(BF222*$E222*$F222*$G222*$L222*$BG$12)</f>
        <v>0</v>
      </c>
      <c r="BH222" s="182"/>
      <c r="BI222" s="183">
        <f>(BH222*$E222*$F222*$G222*$L222*$BI$12)</f>
        <v>0</v>
      </c>
      <c r="BJ222" s="182"/>
      <c r="BK222" s="183">
        <f>(BJ222*$E222*$F222*$G222*$L222*$BK$12)</f>
        <v>0</v>
      </c>
      <c r="BL222" s="182"/>
      <c r="BM222" s="182">
        <f>(BL222*$E222*$F222*$G222*$L222*$BM$12)</f>
        <v>0</v>
      </c>
      <c r="BN222" s="182"/>
      <c r="BO222" s="182">
        <f>(BN222*$E222*$F222*$G222*$M222*$BO$12)</f>
        <v>0</v>
      </c>
      <c r="BP222" s="182"/>
      <c r="BQ222" s="182">
        <f>(BP222*$E222*$F222*$G222*$M222*$BQ$12)</f>
        <v>0</v>
      </c>
      <c r="BR222" s="182"/>
      <c r="BS222" s="183">
        <f>(BR222*$E222*$F222*$G222*$M222*$BS$12)</f>
        <v>0</v>
      </c>
      <c r="BT222" s="182"/>
      <c r="BU222" s="182">
        <f>(BT222*$E222*$F222*$G222*$M222*$BU$12)</f>
        <v>0</v>
      </c>
      <c r="BV222" s="182"/>
      <c r="BW222" s="182">
        <f>(BV222*$E222*$F222*$G222*$M222*$BW$12)</f>
        <v>0</v>
      </c>
      <c r="BX222" s="182"/>
      <c r="BY222" s="183">
        <f>(BX222*$E222*$F222*$G222*$M222*$BY$12)</f>
        <v>0</v>
      </c>
      <c r="BZ222" s="182"/>
      <c r="CA222" s="187">
        <f>(BZ222*$E222*$F222*$G222*$M222*$CA$12)</f>
        <v>0</v>
      </c>
      <c r="CB222" s="182"/>
      <c r="CC222" s="182">
        <f>(CB222*$E222*$F222*$G222*$L222*$CC$12)</f>
        <v>0</v>
      </c>
      <c r="CD222" s="182"/>
      <c r="CE222" s="182">
        <f>(CD222*$E222*$F222*$G222*$L222*$CE$12)</f>
        <v>0</v>
      </c>
      <c r="CF222" s="182"/>
      <c r="CG222" s="182">
        <f>(CF222*$E222*$F222*$G222*$L222*$CG$12)</f>
        <v>0</v>
      </c>
      <c r="CH222" s="182"/>
      <c r="CI222" s="182">
        <f>(CH222*$E222*$F222*$G222*$M222*$CI$12)</f>
        <v>0</v>
      </c>
      <c r="CJ222" s="182"/>
      <c r="CK222" s="182"/>
      <c r="CL222" s="182"/>
      <c r="CM222" s="183">
        <f>(CL222*$E222*$F222*$G222*$L222*$CM$12)</f>
        <v>0</v>
      </c>
      <c r="CN222" s="182"/>
      <c r="CO222" s="183">
        <f>(CN222*$E222*$F222*$G222*$L222*$CO$12)</f>
        <v>0</v>
      </c>
      <c r="CP222" s="182"/>
      <c r="CQ222" s="182">
        <f>(CP222*$E222*$F222*$G222*$L222*$CQ$12)</f>
        <v>0</v>
      </c>
      <c r="CR222" s="182"/>
      <c r="CS222" s="182">
        <f>(CR222*$E222*$F222*$G222*$L222*$CS$12)</f>
        <v>0</v>
      </c>
      <c r="CT222" s="182"/>
      <c r="CU222" s="182">
        <f>(CT222*$E222*$F222*$G222*$L222*$CU$12)</f>
        <v>0</v>
      </c>
      <c r="CV222" s="182"/>
      <c r="CW222" s="182">
        <v>0</v>
      </c>
      <c r="CX222" s="182"/>
      <c r="CY222" s="182">
        <f>(CX222*$E222*$F222*$G222*$M222*$CY$12)</f>
        <v>0</v>
      </c>
      <c r="CZ222" s="182"/>
      <c r="DA222" s="182">
        <v>0</v>
      </c>
      <c r="DB222" s="188"/>
      <c r="DC222" s="182">
        <f>(DB222*$E222*$F222*$G222*$M222*$DC$12)</f>
        <v>0</v>
      </c>
      <c r="DD222" s="182"/>
      <c r="DE222" s="187"/>
      <c r="DF222" s="182"/>
      <c r="DG222" s="182">
        <f>(DF222*$E222*$F222*$G222*$M222*$DG$12)</f>
        <v>0</v>
      </c>
      <c r="DH222" s="189"/>
      <c r="DI222" s="182">
        <f>(DH222*$E222*$F222*$G222*$M222*$DI$12)</f>
        <v>0</v>
      </c>
      <c r="DJ222" s="182"/>
      <c r="DK222" s="182">
        <f>(DJ222*$E222*$F222*$G222*$M222*$DK$12)</f>
        <v>0</v>
      </c>
      <c r="DL222" s="182"/>
      <c r="DM222" s="182">
        <f>(DL222*$E222*$F222*$G222*$N222*$DM$12)</f>
        <v>0</v>
      </c>
      <c r="DN222" s="182"/>
      <c r="DO222" s="190">
        <f>(DN222*$E222*$F222*$G222*$O222*$DO$12)</f>
        <v>0</v>
      </c>
      <c r="DP222" s="187"/>
      <c r="DQ222" s="187"/>
      <c r="DR222" s="183">
        <f t="shared" si="799"/>
        <v>0</v>
      </c>
      <c r="DS222" s="183">
        <f t="shared" si="799"/>
        <v>0</v>
      </c>
      <c r="DT222" s="182">
        <v>0</v>
      </c>
      <c r="DU222" s="182">
        <v>0</v>
      </c>
      <c r="DV222" s="167">
        <f t="shared" si="817"/>
        <v>0</v>
      </c>
      <c r="DW222" s="167">
        <f t="shared" si="817"/>
        <v>0</v>
      </c>
    </row>
    <row r="223" spans="1:127" ht="30" customHeight="1" x14ac:dyDescent="0.25">
      <c r="A223" s="154"/>
      <c r="B223" s="176">
        <v>189</v>
      </c>
      <c r="C223" s="208" t="s">
        <v>531</v>
      </c>
      <c r="D223" s="178" t="s">
        <v>532</v>
      </c>
      <c r="E223" s="158">
        <v>25969</v>
      </c>
      <c r="F223" s="201">
        <v>19.75</v>
      </c>
      <c r="G223" s="168">
        <v>1</v>
      </c>
      <c r="H223" s="169"/>
      <c r="I223" s="169"/>
      <c r="J223" s="169"/>
      <c r="K223" s="258"/>
      <c r="L223" s="255">
        <v>1.4</v>
      </c>
      <c r="M223" s="255">
        <v>1.68</v>
      </c>
      <c r="N223" s="255">
        <v>2.23</v>
      </c>
      <c r="O223" s="256">
        <v>2.57</v>
      </c>
      <c r="P223" s="182">
        <v>0</v>
      </c>
      <c r="Q223" s="182">
        <f>(P223*$E223*$F223*$G223*$L223*$Q$12)</f>
        <v>0</v>
      </c>
      <c r="R223" s="182"/>
      <c r="S223" s="182">
        <f>(R223*$E223*$F223*$G223*$L223*$S$12)</f>
        <v>0</v>
      </c>
      <c r="T223" s="182"/>
      <c r="U223" s="182">
        <f t="shared" si="830"/>
        <v>0</v>
      </c>
      <c r="V223" s="182"/>
      <c r="W223" s="183">
        <f t="shared" si="831"/>
        <v>0</v>
      </c>
      <c r="X223" s="183"/>
      <c r="Y223" s="183">
        <v>0</v>
      </c>
      <c r="Z223" s="183">
        <v>0</v>
      </c>
      <c r="AA223" s="183">
        <v>0</v>
      </c>
      <c r="AB223" s="182">
        <f t="shared" si="801"/>
        <v>0</v>
      </c>
      <c r="AC223" s="182">
        <f t="shared" si="801"/>
        <v>0</v>
      </c>
      <c r="AD223" s="182"/>
      <c r="AE223" s="182">
        <f>(AD223*$E223*$F223*$G223*$L223*$AE$12)</f>
        <v>0</v>
      </c>
      <c r="AF223" s="182"/>
      <c r="AG223" s="182"/>
      <c r="AH223" s="182"/>
      <c r="AI223" s="182">
        <f>(AH223*$E223*$F223*$G223*$L223*$AI$12)</f>
        <v>0</v>
      </c>
      <c r="AJ223" s="182"/>
      <c r="AK223" s="182"/>
      <c r="AL223" s="182"/>
      <c r="AM223" s="182"/>
      <c r="AN223" s="205"/>
      <c r="AO223" s="182">
        <f>(AN223*$E223*$F223*$G223*$L223*$AO$12)</f>
        <v>0</v>
      </c>
      <c r="AP223" s="182"/>
      <c r="AQ223" s="183">
        <f>(AP223*$E223*$F223*$G223*$L223*$AQ$12)</f>
        <v>0</v>
      </c>
      <c r="AR223" s="182"/>
      <c r="AS223" s="182">
        <f t="shared" si="832"/>
        <v>0</v>
      </c>
      <c r="AT223" s="182"/>
      <c r="AU223" s="182">
        <f>(AT223*$E223*$F223*$G223*$M223*$AU$12)</f>
        <v>0</v>
      </c>
      <c r="AV223" s="186">
        <v>0</v>
      </c>
      <c r="AW223" s="182">
        <v>0</v>
      </c>
      <c r="AX223" s="182"/>
      <c r="AY223" s="187">
        <f>(AX223*$E223*$F223*$G223*$M223*$AY$12)</f>
        <v>0</v>
      </c>
      <c r="AZ223" s="182"/>
      <c r="BA223" s="182">
        <f>(AZ223*$E223*$F223*$G223*$L223*$BA$12)</f>
        <v>0</v>
      </c>
      <c r="BB223" s="182"/>
      <c r="BC223" s="182">
        <f>(BB223*$E223*$F223*$G223*$L223*$BC$12)</f>
        <v>0</v>
      </c>
      <c r="BD223" s="182"/>
      <c r="BE223" s="182">
        <f>(BD223*$E223*$F223*$G223*$L223*$BE$12)</f>
        <v>0</v>
      </c>
      <c r="BF223" s="182"/>
      <c r="BG223" s="182">
        <f>(BF223*$E223*$F223*$G223*$L223*$BG$12)</f>
        <v>0</v>
      </c>
      <c r="BH223" s="182"/>
      <c r="BI223" s="183">
        <f>(BH223*$E223*$F223*$G223*$L223*$BI$12)</f>
        <v>0</v>
      </c>
      <c r="BJ223" s="182"/>
      <c r="BK223" s="183">
        <f>(BJ223*$E223*$F223*$G223*$L223*$BK$12)</f>
        <v>0</v>
      </c>
      <c r="BL223" s="182"/>
      <c r="BM223" s="182">
        <f>(BL223*$E223*$F223*$G223*$L223*$BM$12)</f>
        <v>0</v>
      </c>
      <c r="BN223" s="182"/>
      <c r="BO223" s="182">
        <f>(BN223*$E223*$F223*$G223*$M223*$BO$12)</f>
        <v>0</v>
      </c>
      <c r="BP223" s="182"/>
      <c r="BQ223" s="182">
        <f>(BP223*$E223*$F223*$G223*$M223*$BQ$12)</f>
        <v>0</v>
      </c>
      <c r="BR223" s="182"/>
      <c r="BS223" s="183">
        <f>(BR223*$E223*$F223*$G223*$M223*$BS$12)</f>
        <v>0</v>
      </c>
      <c r="BT223" s="182"/>
      <c r="BU223" s="182">
        <f>(BT223*$E223*$F223*$G223*$M223*$BU$12)</f>
        <v>0</v>
      </c>
      <c r="BV223" s="182"/>
      <c r="BW223" s="182">
        <f>(BV223*$E223*$F223*$G223*$M223*$BW$12)</f>
        <v>0</v>
      </c>
      <c r="BX223" s="182"/>
      <c r="BY223" s="183">
        <f>(BX223*$E223*$F223*$G223*$M223*$BY$12)</f>
        <v>0</v>
      </c>
      <c r="BZ223" s="182"/>
      <c r="CA223" s="187">
        <f>(BZ223*$E223*$F223*$G223*$M223*$CA$12)</f>
        <v>0</v>
      </c>
      <c r="CB223" s="182"/>
      <c r="CC223" s="182">
        <f>(CB223*$E223*$F223*$G223*$L223*$CC$12)</f>
        <v>0</v>
      </c>
      <c r="CD223" s="182"/>
      <c r="CE223" s="182">
        <f>(CD223*$E223*$F223*$G223*$L223*$CE$12)</f>
        <v>0</v>
      </c>
      <c r="CF223" s="182"/>
      <c r="CG223" s="182">
        <f>(CF223*$E223*$F223*$G223*$L223*$CG$12)</f>
        <v>0</v>
      </c>
      <c r="CH223" s="182"/>
      <c r="CI223" s="182">
        <f>(CH223*$E223*$F223*$G223*$M223*$CI$12)</f>
        <v>0</v>
      </c>
      <c r="CJ223" s="182"/>
      <c r="CK223" s="182"/>
      <c r="CL223" s="182"/>
      <c r="CM223" s="183">
        <f>(CL223*$E223*$F223*$G223*$L223*$CM$12)</f>
        <v>0</v>
      </c>
      <c r="CN223" s="182"/>
      <c r="CO223" s="183">
        <f>(CN223*$E223*$F223*$G223*$L223*$CO$12)</f>
        <v>0</v>
      </c>
      <c r="CP223" s="182"/>
      <c r="CQ223" s="182">
        <f>(CP223*$E223*$F223*$G223*$L223*$CQ$12)</f>
        <v>0</v>
      </c>
      <c r="CR223" s="182"/>
      <c r="CS223" s="182">
        <f>(CR223*$E223*$F223*$G223*$L223*$CS$12)</f>
        <v>0</v>
      </c>
      <c r="CT223" s="182"/>
      <c r="CU223" s="182">
        <f>(CT223*$E223*$F223*$G223*$L223*$CU$12)</f>
        <v>0</v>
      </c>
      <c r="CV223" s="182"/>
      <c r="CW223" s="182">
        <v>0</v>
      </c>
      <c r="CX223" s="182"/>
      <c r="CY223" s="182">
        <f>(CX223*$E223*$F223*$G223*$M223*$CY$12)</f>
        <v>0</v>
      </c>
      <c r="CZ223" s="182"/>
      <c r="DA223" s="182">
        <v>0</v>
      </c>
      <c r="DB223" s="188"/>
      <c r="DC223" s="182">
        <f>(DB223*$E223*$F223*$G223*$M223*$DC$12)</f>
        <v>0</v>
      </c>
      <c r="DD223" s="182"/>
      <c r="DE223" s="187"/>
      <c r="DF223" s="182"/>
      <c r="DG223" s="182">
        <f>(DF223*$E223*$F223*$G223*$M223*$DG$12)</f>
        <v>0</v>
      </c>
      <c r="DH223" s="189"/>
      <c r="DI223" s="182">
        <f>(DH223*$E223*$F223*$G223*$M223*$DI$12)</f>
        <v>0</v>
      </c>
      <c r="DJ223" s="182"/>
      <c r="DK223" s="182">
        <f>(DJ223*$E223*$F223*$G223*$M223*$DK$12)</f>
        <v>0</v>
      </c>
      <c r="DL223" s="182"/>
      <c r="DM223" s="182">
        <f>(DL223*$E223*$F223*$G223*$N223*$DM$12)</f>
        <v>0</v>
      </c>
      <c r="DN223" s="182"/>
      <c r="DO223" s="190">
        <f>(DN223*$E223*$F223*$G223*$O223*$DO$12)</f>
        <v>0</v>
      </c>
      <c r="DP223" s="187"/>
      <c r="DQ223" s="187"/>
      <c r="DR223" s="183">
        <f t="shared" si="799"/>
        <v>0</v>
      </c>
      <c r="DS223" s="183">
        <f t="shared" si="799"/>
        <v>0</v>
      </c>
      <c r="DT223" s="182">
        <v>0</v>
      </c>
      <c r="DU223" s="182">
        <v>0</v>
      </c>
      <c r="DV223" s="167">
        <f t="shared" si="817"/>
        <v>0</v>
      </c>
      <c r="DW223" s="167">
        <f t="shared" si="817"/>
        <v>0</v>
      </c>
    </row>
    <row r="224" spans="1:127" ht="30" customHeight="1" x14ac:dyDescent="0.25">
      <c r="A224" s="154"/>
      <c r="B224" s="176">
        <v>190</v>
      </c>
      <c r="C224" s="177" t="s">
        <v>533</v>
      </c>
      <c r="D224" s="259" t="s">
        <v>534</v>
      </c>
      <c r="E224" s="158">
        <v>25969</v>
      </c>
      <c r="F224" s="257">
        <v>21.02</v>
      </c>
      <c r="G224" s="168">
        <v>1</v>
      </c>
      <c r="H224" s="169"/>
      <c r="I224" s="169"/>
      <c r="J224" s="169"/>
      <c r="K224" s="195">
        <v>0.62439999999999996</v>
      </c>
      <c r="L224" s="255">
        <v>1.4</v>
      </c>
      <c r="M224" s="255">
        <v>1.68</v>
      </c>
      <c r="N224" s="255">
        <v>2.23</v>
      </c>
      <c r="O224" s="256">
        <v>2.57</v>
      </c>
      <c r="P224" s="182">
        <v>2</v>
      </c>
      <c r="Q224" s="196">
        <f t="shared" ref="Q224:Q243" si="833">(P224*$E224*$F224*((1-$K224)+$K224*$L224*$Q$12*$G224))</f>
        <v>1459844.1937897599</v>
      </c>
      <c r="R224" s="182"/>
      <c r="S224" s="196">
        <f t="shared" ref="S224:S243" si="834">(R224*$E224*$F224*((1-$K224)+$K224*$L224*$S$12*$G224))</f>
        <v>0</v>
      </c>
      <c r="T224" s="196"/>
      <c r="U224" s="196">
        <f>(T224*$E224*$F224*((1-$K224)+$K224*$L224*U$12*$G224))</f>
        <v>0</v>
      </c>
      <c r="V224" s="182"/>
      <c r="W224" s="196">
        <f t="shared" ref="W224:W243" si="835">(V224*$E224*$F224*((1-$K224)+$K224*$L224*$W$12*$G224))</f>
        <v>0</v>
      </c>
      <c r="X224" s="196"/>
      <c r="Y224" s="196">
        <v>0</v>
      </c>
      <c r="Z224" s="196">
        <v>0</v>
      </c>
      <c r="AA224" s="196">
        <v>0</v>
      </c>
      <c r="AB224" s="182">
        <f t="shared" si="801"/>
        <v>0</v>
      </c>
      <c r="AC224" s="182">
        <f t="shared" si="801"/>
        <v>0</v>
      </c>
      <c r="AD224" s="182"/>
      <c r="AE224" s="196">
        <f t="shared" ref="AE224:AE243" si="836">(AD224*$E224*$F224*((1-$K224)+$K224*$L224*$AE$12*$G224))</f>
        <v>0</v>
      </c>
      <c r="AF224" s="182"/>
      <c r="AG224" s="182"/>
      <c r="AH224" s="182"/>
      <c r="AI224" s="196">
        <f>(AH224*$E224*$F224*((1-$K224)+$K224*$L224*AI$12*$G224))</f>
        <v>0</v>
      </c>
      <c r="AJ224" s="196"/>
      <c r="AK224" s="196"/>
      <c r="AL224" s="182"/>
      <c r="AM224" s="182"/>
      <c r="AN224" s="205"/>
      <c r="AO224" s="196">
        <f>(AN224*$E224*$F224*((1-$K224)+$K224*$G224*AO$12*$L224))</f>
        <v>0</v>
      </c>
      <c r="AP224" s="182"/>
      <c r="AQ224" s="196">
        <f>(AP224*$E224*$F224*((1-$K224)+$K224*$G224*AQ$12*$L224))</f>
        <v>0</v>
      </c>
      <c r="AR224" s="182"/>
      <c r="AS224" s="196">
        <f>(AR224*$E224*$F224*((1-$K224)+$K224*$G224*AS$12*$L224))</f>
        <v>0</v>
      </c>
      <c r="AT224" s="182"/>
      <c r="AU224" s="196">
        <f>(AT224*$E224*$F224*((1-$K224)+$K224*$G224*AU$12*$M224))</f>
        <v>0</v>
      </c>
      <c r="AV224" s="186">
        <v>0</v>
      </c>
      <c r="AW224" s="196">
        <v>0</v>
      </c>
      <c r="AX224" s="182"/>
      <c r="AY224" s="196">
        <f>(AX224*$E224*$F224*((1-$K224)+$K224*$G224*AY$12*$M224))</f>
        <v>0</v>
      </c>
      <c r="AZ224" s="182"/>
      <c r="BA224" s="182"/>
      <c r="BB224" s="182"/>
      <c r="BC224" s="182"/>
      <c r="BD224" s="182"/>
      <c r="BE224" s="182"/>
      <c r="BF224" s="182"/>
      <c r="BG224" s="182"/>
      <c r="BH224" s="182"/>
      <c r="BI224" s="182"/>
      <c r="BJ224" s="182"/>
      <c r="BK224" s="182"/>
      <c r="BL224" s="182"/>
      <c r="BM224" s="182"/>
      <c r="BN224" s="182"/>
      <c r="BO224" s="182"/>
      <c r="BP224" s="182"/>
      <c r="BQ224" s="182"/>
      <c r="BR224" s="182"/>
      <c r="BS224" s="182"/>
      <c r="BT224" s="182"/>
      <c r="BU224" s="182"/>
      <c r="BV224" s="182"/>
      <c r="BW224" s="182"/>
      <c r="BX224" s="182"/>
      <c r="BY224" s="182"/>
      <c r="BZ224" s="182"/>
      <c r="CA224" s="187"/>
      <c r="CB224" s="182"/>
      <c r="CC224" s="182"/>
      <c r="CD224" s="182"/>
      <c r="CE224" s="182"/>
      <c r="CF224" s="182"/>
      <c r="CG224" s="182"/>
      <c r="CH224" s="182"/>
      <c r="CI224" s="182"/>
      <c r="CJ224" s="182"/>
      <c r="CK224" s="182"/>
      <c r="CL224" s="182"/>
      <c r="CM224" s="182"/>
      <c r="CN224" s="182"/>
      <c r="CO224" s="182"/>
      <c r="CP224" s="182"/>
      <c r="CQ224" s="182"/>
      <c r="CR224" s="182"/>
      <c r="CS224" s="182"/>
      <c r="CT224" s="182"/>
      <c r="CU224" s="182"/>
      <c r="CV224" s="182"/>
      <c r="CW224" s="182">
        <v>0</v>
      </c>
      <c r="CX224" s="182"/>
      <c r="CY224" s="182"/>
      <c r="CZ224" s="182"/>
      <c r="DA224" s="182">
        <v>0</v>
      </c>
      <c r="DB224" s="188"/>
      <c r="DC224" s="182"/>
      <c r="DD224" s="182"/>
      <c r="DE224" s="187"/>
      <c r="DF224" s="182"/>
      <c r="DG224" s="182"/>
      <c r="DH224" s="189"/>
      <c r="DI224" s="182"/>
      <c r="DJ224" s="182"/>
      <c r="DK224" s="196">
        <f>(DJ224*$E224*$F224*((1-$K224)+$K224*$G224*DK$12*$M224))</f>
        <v>0</v>
      </c>
      <c r="DL224" s="182"/>
      <c r="DM224" s="182"/>
      <c r="DN224" s="182"/>
      <c r="DO224" s="187"/>
      <c r="DP224" s="187"/>
      <c r="DQ224" s="187"/>
      <c r="DR224" s="183">
        <f t="shared" si="799"/>
        <v>2</v>
      </c>
      <c r="DS224" s="183">
        <f t="shared" si="799"/>
        <v>1459844.1937897599</v>
      </c>
      <c r="DT224" s="182">
        <v>2</v>
      </c>
      <c r="DU224" s="182">
        <v>1459844.1937897599</v>
      </c>
      <c r="DV224" s="167">
        <f t="shared" si="817"/>
        <v>0</v>
      </c>
      <c r="DW224" s="167">
        <f t="shared" si="817"/>
        <v>0</v>
      </c>
    </row>
    <row r="225" spans="1:127" ht="45" customHeight="1" x14ac:dyDescent="0.25">
      <c r="A225" s="154"/>
      <c r="B225" s="176">
        <v>191</v>
      </c>
      <c r="C225" s="313" t="s">
        <v>535</v>
      </c>
      <c r="D225" s="260" t="s">
        <v>536</v>
      </c>
      <c r="E225" s="158">
        <v>25969</v>
      </c>
      <c r="F225" s="257">
        <v>0.38</v>
      </c>
      <c r="G225" s="168">
        <v>1</v>
      </c>
      <c r="H225" s="169"/>
      <c r="I225" s="169"/>
      <c r="J225" s="169"/>
      <c r="K225" s="195">
        <v>0.57989999999999997</v>
      </c>
      <c r="L225" s="180">
        <v>1.4</v>
      </c>
      <c r="M225" s="180">
        <v>1.68</v>
      </c>
      <c r="N225" s="180">
        <v>2.23</v>
      </c>
      <c r="O225" s="181">
        <v>2.57</v>
      </c>
      <c r="P225" s="182">
        <v>1</v>
      </c>
      <c r="Q225" s="196">
        <f t="shared" si="833"/>
        <v>12958.41362012</v>
      </c>
      <c r="R225" s="196"/>
      <c r="S225" s="196">
        <f t="shared" si="834"/>
        <v>0</v>
      </c>
      <c r="T225" s="196"/>
      <c r="U225" s="196">
        <f>(T225*$E225*$F225*((1-$K225)+$K225*$L225*U$12*$G225))</f>
        <v>0</v>
      </c>
      <c r="V225" s="182"/>
      <c r="W225" s="196">
        <f t="shared" si="835"/>
        <v>0</v>
      </c>
      <c r="X225" s="196">
        <v>359</v>
      </c>
      <c r="Y225" s="196">
        <v>5514921.2193299197</v>
      </c>
      <c r="Z225" s="196">
        <v>22</v>
      </c>
      <c r="AA225" s="196">
        <v>387313.28266083193</v>
      </c>
      <c r="AB225" s="182">
        <f t="shared" si="801"/>
        <v>381</v>
      </c>
      <c r="AC225" s="182">
        <f t="shared" si="801"/>
        <v>5902234.5019907514</v>
      </c>
      <c r="AD225" s="182"/>
      <c r="AE225" s="196">
        <f t="shared" si="836"/>
        <v>0</v>
      </c>
      <c r="AF225" s="182"/>
      <c r="AG225" s="182"/>
      <c r="AH225" s="182"/>
      <c r="AI225" s="196">
        <f t="shared" ref="AI225:AI243" si="837">(AH225*$E225*$F225*((1-$K225)+$K225*$L225*AI$12*$G225))</f>
        <v>0</v>
      </c>
      <c r="AJ225" s="196"/>
      <c r="AK225" s="196"/>
      <c r="AL225" s="182"/>
      <c r="AM225" s="182"/>
      <c r="AN225" s="205"/>
      <c r="AO225" s="196">
        <f t="shared" ref="AO225:AO243" si="838">(AN225*$E225*$F225*((1-$K225)+$K225*$G225*AO$12*$L225))</f>
        <v>0</v>
      </c>
      <c r="AP225" s="182"/>
      <c r="AQ225" s="196">
        <f t="shared" ref="AQ225:AQ243" si="839">(AP225*$E225*$F225*((1-$K225)+$K225*$G225*AQ$12*$L225))</f>
        <v>0</v>
      </c>
      <c r="AR225" s="182"/>
      <c r="AS225" s="196">
        <f t="shared" ref="AS225:AS243" si="840">(AR225*$E225*$F225*((1-$K225)+$K225*$G225*AS$12*$L225))</f>
        <v>0</v>
      </c>
      <c r="AT225" s="182"/>
      <c r="AU225" s="196">
        <f>(AT225*$E225*$F225*((1-$K225)+$K225*$G225*AU$12*$M225))</f>
        <v>0</v>
      </c>
      <c r="AV225" s="188">
        <v>264</v>
      </c>
      <c r="AW225" s="196">
        <v>4811364.2999999952</v>
      </c>
      <c r="AX225" s="182"/>
      <c r="AY225" s="196">
        <f>(AX225*$E225*$F225*((1-$K225)+$K225*$G225*AY$12*$M225))</f>
        <v>0</v>
      </c>
      <c r="AZ225" s="182"/>
      <c r="BA225" s="182"/>
      <c r="BB225" s="182">
        <v>0</v>
      </c>
      <c r="BC225" s="182"/>
      <c r="BD225" s="182"/>
      <c r="BE225" s="182"/>
      <c r="BF225" s="182"/>
      <c r="BG225" s="182"/>
      <c r="BH225" s="182"/>
      <c r="BI225" s="182"/>
      <c r="BJ225" s="182"/>
      <c r="BK225" s="182"/>
      <c r="BL225" s="182"/>
      <c r="BM225" s="182"/>
      <c r="BN225" s="182"/>
      <c r="BO225" s="182"/>
      <c r="BP225" s="182"/>
      <c r="BQ225" s="182"/>
      <c r="BR225" s="182"/>
      <c r="BS225" s="182"/>
      <c r="BT225" s="182"/>
      <c r="BU225" s="182"/>
      <c r="BV225" s="182"/>
      <c r="BW225" s="196">
        <f t="shared" ref="BW225:BW226" si="841">(BV225*$E225*$F225*((1-$K225)+$K225*$G225*BW$12*$M225))</f>
        <v>0</v>
      </c>
      <c r="BX225" s="182"/>
      <c r="BY225" s="182"/>
      <c r="BZ225" s="182"/>
      <c r="CA225" s="187"/>
      <c r="CB225" s="182"/>
      <c r="CC225" s="182"/>
      <c r="CD225" s="182"/>
      <c r="CE225" s="182"/>
      <c r="CF225" s="182"/>
      <c r="CG225" s="182"/>
      <c r="CH225" s="182"/>
      <c r="CI225" s="196">
        <f>(CH225*$E225*$F225*((1-$K225)+$K225*$G225*CI$12*$M225))</f>
        <v>0</v>
      </c>
      <c r="CJ225" s="182"/>
      <c r="CK225" s="182"/>
      <c r="CL225" s="182"/>
      <c r="CM225" s="182"/>
      <c r="CN225" s="182"/>
      <c r="CO225" s="182"/>
      <c r="CP225" s="182"/>
      <c r="CQ225" s="182"/>
      <c r="CR225" s="182"/>
      <c r="CS225" s="182"/>
      <c r="CT225" s="182"/>
      <c r="CU225" s="182"/>
      <c r="CV225" s="182"/>
      <c r="CW225" s="196">
        <v>0</v>
      </c>
      <c r="CX225" s="182"/>
      <c r="CY225" s="196">
        <f>(CX225*$E225*$F225*((1-$K225)+$K225*$G225*CY$12*$M225))</f>
        <v>0</v>
      </c>
      <c r="CZ225" s="182"/>
      <c r="DA225" s="182">
        <v>0</v>
      </c>
      <c r="DB225" s="188"/>
      <c r="DC225" s="182"/>
      <c r="DD225" s="182"/>
      <c r="DE225" s="187"/>
      <c r="DF225" s="182"/>
      <c r="DG225" s="182"/>
      <c r="DH225" s="189"/>
      <c r="DI225" s="182"/>
      <c r="DJ225" s="182"/>
      <c r="DK225" s="196">
        <f t="shared" ref="DK225:DK243" si="842">(DJ225*$E225*$F225*((1-$K225)+$K225*$G225*DK$12*$M225))</f>
        <v>0</v>
      </c>
      <c r="DL225" s="182"/>
      <c r="DM225" s="196">
        <f>(DL225*$E225*$F225*((1-$K225)+$K225*$G225*DM$12*$N225))</f>
        <v>0</v>
      </c>
      <c r="DN225" s="182"/>
      <c r="DO225" s="187"/>
      <c r="DP225" s="187"/>
      <c r="DQ225" s="187"/>
      <c r="DR225" s="183">
        <f t="shared" si="799"/>
        <v>646</v>
      </c>
      <c r="DS225" s="183">
        <f t="shared" si="799"/>
        <v>10726557.215610866</v>
      </c>
      <c r="DT225" s="182">
        <v>626</v>
      </c>
      <c r="DU225" s="182">
        <v>10210849.323303735</v>
      </c>
      <c r="DV225" s="167">
        <f t="shared" si="817"/>
        <v>20</v>
      </c>
      <c r="DW225" s="167">
        <f t="shared" si="817"/>
        <v>515707.89230713062</v>
      </c>
    </row>
    <row r="226" spans="1:127" ht="45" customHeight="1" x14ac:dyDescent="0.25">
      <c r="A226" s="154"/>
      <c r="B226" s="176">
        <v>192</v>
      </c>
      <c r="C226" s="313" t="s">
        <v>537</v>
      </c>
      <c r="D226" s="210" t="s">
        <v>538</v>
      </c>
      <c r="E226" s="158">
        <v>25969</v>
      </c>
      <c r="F226" s="257">
        <v>0.79</v>
      </c>
      <c r="G226" s="168">
        <v>1</v>
      </c>
      <c r="H226" s="169"/>
      <c r="I226" s="169"/>
      <c r="J226" s="169"/>
      <c r="K226" s="195">
        <v>0.37809999999999999</v>
      </c>
      <c r="L226" s="180">
        <v>1.4</v>
      </c>
      <c r="M226" s="180">
        <v>1.68</v>
      </c>
      <c r="N226" s="180">
        <v>2.23</v>
      </c>
      <c r="O226" s="181">
        <v>2.57</v>
      </c>
      <c r="P226" s="182">
        <v>0</v>
      </c>
      <c r="Q226" s="196">
        <f t="shared" si="833"/>
        <v>0</v>
      </c>
      <c r="R226" s="196"/>
      <c r="S226" s="196">
        <f t="shared" si="834"/>
        <v>0</v>
      </c>
      <c r="T226" s="196"/>
      <c r="U226" s="196">
        <f t="shared" ref="U226:U243" si="843">(T226*$E226*$F226*((1-$K226)+$K226*$L226*U$12*$G226))</f>
        <v>0</v>
      </c>
      <c r="V226" s="182"/>
      <c r="W226" s="196">
        <f t="shared" si="835"/>
        <v>0</v>
      </c>
      <c r="X226" s="196">
        <v>1145</v>
      </c>
      <c r="Y226" s="196">
        <v>32016659.182635192</v>
      </c>
      <c r="Z226" s="196">
        <v>28</v>
      </c>
      <c r="AA226" s="196">
        <v>868080.028914336</v>
      </c>
      <c r="AB226" s="182">
        <f t="shared" si="801"/>
        <v>1173</v>
      </c>
      <c r="AC226" s="182">
        <f t="shared" si="801"/>
        <v>32884739.211549528</v>
      </c>
      <c r="AD226" s="182"/>
      <c r="AE226" s="196">
        <f t="shared" si="836"/>
        <v>0</v>
      </c>
      <c r="AF226" s="182"/>
      <c r="AG226" s="182"/>
      <c r="AH226" s="182"/>
      <c r="AI226" s="196">
        <f t="shared" si="837"/>
        <v>0</v>
      </c>
      <c r="AJ226" s="196"/>
      <c r="AK226" s="196"/>
      <c r="AL226" s="182"/>
      <c r="AM226" s="182"/>
      <c r="AN226" s="205"/>
      <c r="AO226" s="196">
        <f t="shared" si="838"/>
        <v>0</v>
      </c>
      <c r="AP226" s="182"/>
      <c r="AQ226" s="196">
        <f t="shared" si="839"/>
        <v>0</v>
      </c>
      <c r="AR226" s="182"/>
      <c r="AS226" s="196">
        <f t="shared" si="840"/>
        <v>0</v>
      </c>
      <c r="AT226" s="182"/>
      <c r="AU226" s="196">
        <f t="shared" ref="AU226:AU243" si="844">(AT226*$E226*$F226*((1-$K226)+$K226*$G226*AU$12*$M226))</f>
        <v>0</v>
      </c>
      <c r="AV226" s="188">
        <v>360</v>
      </c>
      <c r="AW226" s="196">
        <v>11218720.769999985</v>
      </c>
      <c r="AX226" s="182"/>
      <c r="AY226" s="196">
        <f t="shared" ref="AY226:AY243" si="845">(AX226*$E226*$F226*((1-$K226)+$K226*$G226*AY$12*$M226))</f>
        <v>0</v>
      </c>
      <c r="AZ226" s="182"/>
      <c r="BA226" s="182"/>
      <c r="BB226" s="182">
        <v>0</v>
      </c>
      <c r="BC226" s="182"/>
      <c r="BD226" s="182"/>
      <c r="BE226" s="182"/>
      <c r="BF226" s="182"/>
      <c r="BG226" s="182"/>
      <c r="BH226" s="182"/>
      <c r="BI226" s="182"/>
      <c r="BJ226" s="182"/>
      <c r="BK226" s="182"/>
      <c r="BL226" s="182"/>
      <c r="BM226" s="182"/>
      <c r="BN226" s="182"/>
      <c r="BO226" s="182"/>
      <c r="BP226" s="182"/>
      <c r="BQ226" s="182"/>
      <c r="BR226" s="182"/>
      <c r="BS226" s="182"/>
      <c r="BT226" s="182"/>
      <c r="BU226" s="182"/>
      <c r="BV226" s="182"/>
      <c r="BW226" s="196">
        <f t="shared" si="841"/>
        <v>0</v>
      </c>
      <c r="BX226" s="182"/>
      <c r="BY226" s="182"/>
      <c r="BZ226" s="182"/>
      <c r="CA226" s="187"/>
      <c r="CB226" s="182"/>
      <c r="CC226" s="182"/>
      <c r="CD226" s="182"/>
      <c r="CE226" s="182"/>
      <c r="CF226" s="182"/>
      <c r="CG226" s="182"/>
      <c r="CH226" s="182"/>
      <c r="CI226" s="182"/>
      <c r="CJ226" s="182"/>
      <c r="CK226" s="182"/>
      <c r="CL226" s="182"/>
      <c r="CM226" s="182"/>
      <c r="CN226" s="182"/>
      <c r="CO226" s="182"/>
      <c r="CP226" s="182"/>
      <c r="CQ226" s="182"/>
      <c r="CR226" s="182"/>
      <c r="CS226" s="182"/>
      <c r="CT226" s="182"/>
      <c r="CU226" s="182"/>
      <c r="CV226" s="182"/>
      <c r="CW226" s="182">
        <v>0</v>
      </c>
      <c r="CX226" s="182"/>
      <c r="CY226" s="182"/>
      <c r="CZ226" s="182"/>
      <c r="DA226" s="182">
        <v>0</v>
      </c>
      <c r="DB226" s="188"/>
      <c r="DC226" s="182"/>
      <c r="DD226" s="182"/>
      <c r="DE226" s="187"/>
      <c r="DF226" s="182"/>
      <c r="DG226" s="182"/>
      <c r="DH226" s="189"/>
      <c r="DI226" s="182"/>
      <c r="DJ226" s="182"/>
      <c r="DK226" s="196">
        <f t="shared" si="842"/>
        <v>0</v>
      </c>
      <c r="DL226" s="182"/>
      <c r="DM226" s="182"/>
      <c r="DN226" s="182"/>
      <c r="DO226" s="187"/>
      <c r="DP226" s="187"/>
      <c r="DQ226" s="187"/>
      <c r="DR226" s="183">
        <f t="shared" si="799"/>
        <v>1533</v>
      </c>
      <c r="DS226" s="183">
        <f t="shared" si="799"/>
        <v>44103459.981549516</v>
      </c>
      <c r="DT226" s="182">
        <v>1483</v>
      </c>
      <c r="DU226" s="182">
        <v>42495625.245958246</v>
      </c>
      <c r="DV226" s="167">
        <f t="shared" si="817"/>
        <v>50</v>
      </c>
      <c r="DW226" s="167">
        <f t="shared" si="817"/>
        <v>1607834.73559127</v>
      </c>
    </row>
    <row r="227" spans="1:127" ht="45" customHeight="1" x14ac:dyDescent="0.25">
      <c r="A227" s="154"/>
      <c r="B227" s="176">
        <v>193</v>
      </c>
      <c r="C227" s="313" t="s">
        <v>539</v>
      </c>
      <c r="D227" s="210" t="s">
        <v>540</v>
      </c>
      <c r="E227" s="158">
        <v>25969</v>
      </c>
      <c r="F227" s="257">
        <v>1.0900000000000001</v>
      </c>
      <c r="G227" s="168">
        <v>1</v>
      </c>
      <c r="H227" s="169"/>
      <c r="I227" s="169"/>
      <c r="J227" s="169"/>
      <c r="K227" s="195">
        <v>0.2099</v>
      </c>
      <c r="L227" s="180">
        <v>1.4</v>
      </c>
      <c r="M227" s="180">
        <v>1.68</v>
      </c>
      <c r="N227" s="180">
        <v>2.23</v>
      </c>
      <c r="O227" s="181">
        <v>2.57</v>
      </c>
      <c r="P227" s="182">
        <v>0</v>
      </c>
      <c r="Q227" s="196">
        <f t="shared" si="833"/>
        <v>0</v>
      </c>
      <c r="R227" s="196"/>
      <c r="S227" s="196">
        <f t="shared" si="834"/>
        <v>0</v>
      </c>
      <c r="T227" s="196"/>
      <c r="U227" s="196">
        <f t="shared" si="843"/>
        <v>0</v>
      </c>
      <c r="V227" s="182"/>
      <c r="W227" s="196">
        <f t="shared" si="835"/>
        <v>0</v>
      </c>
      <c r="X227" s="196">
        <v>1519</v>
      </c>
      <c r="Y227" s="196">
        <v>51661227.276016958</v>
      </c>
      <c r="Z227" s="196">
        <v>48</v>
      </c>
      <c r="AA227" s="196">
        <v>1744275.9428931843</v>
      </c>
      <c r="AB227" s="182">
        <f t="shared" si="801"/>
        <v>1567</v>
      </c>
      <c r="AC227" s="182">
        <f t="shared" si="801"/>
        <v>53405503.218910143</v>
      </c>
      <c r="AD227" s="182"/>
      <c r="AE227" s="196">
        <f t="shared" si="836"/>
        <v>0</v>
      </c>
      <c r="AF227" s="182"/>
      <c r="AG227" s="182"/>
      <c r="AH227" s="182"/>
      <c r="AI227" s="196">
        <f t="shared" si="837"/>
        <v>0</v>
      </c>
      <c r="AJ227" s="196"/>
      <c r="AK227" s="196"/>
      <c r="AL227" s="182"/>
      <c r="AM227" s="182"/>
      <c r="AN227" s="205"/>
      <c r="AO227" s="196">
        <f t="shared" si="838"/>
        <v>0</v>
      </c>
      <c r="AP227" s="182"/>
      <c r="AQ227" s="196">
        <f t="shared" si="839"/>
        <v>0</v>
      </c>
      <c r="AR227" s="182"/>
      <c r="AS227" s="196">
        <f t="shared" si="840"/>
        <v>0</v>
      </c>
      <c r="AT227" s="182"/>
      <c r="AU227" s="196">
        <f t="shared" si="844"/>
        <v>0</v>
      </c>
      <c r="AV227" s="186">
        <v>777</v>
      </c>
      <c r="AW227" s="196">
        <v>29307547.919999581</v>
      </c>
      <c r="AX227" s="182"/>
      <c r="AY227" s="196">
        <f t="shared" si="845"/>
        <v>0</v>
      </c>
      <c r="AZ227" s="182"/>
      <c r="BA227" s="182"/>
      <c r="BB227" s="182">
        <v>0</v>
      </c>
      <c r="BC227" s="182"/>
      <c r="BD227" s="182"/>
      <c r="BE227" s="182"/>
      <c r="BF227" s="182"/>
      <c r="BG227" s="182"/>
      <c r="BH227" s="182"/>
      <c r="BI227" s="182"/>
      <c r="BJ227" s="182"/>
      <c r="BK227" s="182"/>
      <c r="BL227" s="182"/>
      <c r="BM227" s="182"/>
      <c r="BN227" s="182"/>
      <c r="BO227" s="182"/>
      <c r="BP227" s="182"/>
      <c r="BQ227" s="182"/>
      <c r="BR227" s="182"/>
      <c r="BS227" s="182"/>
      <c r="BT227" s="182"/>
      <c r="BU227" s="182"/>
      <c r="BV227" s="182"/>
      <c r="BW227" s="182"/>
      <c r="BX227" s="182"/>
      <c r="BY227" s="182"/>
      <c r="BZ227" s="182"/>
      <c r="CA227" s="187"/>
      <c r="CB227" s="182"/>
      <c r="CC227" s="182"/>
      <c r="CD227" s="182"/>
      <c r="CE227" s="182"/>
      <c r="CF227" s="182"/>
      <c r="CG227" s="182"/>
      <c r="CH227" s="182"/>
      <c r="CI227" s="182"/>
      <c r="CJ227" s="182"/>
      <c r="CK227" s="182"/>
      <c r="CL227" s="182"/>
      <c r="CM227" s="182"/>
      <c r="CN227" s="182"/>
      <c r="CO227" s="182"/>
      <c r="CP227" s="182"/>
      <c r="CQ227" s="182"/>
      <c r="CR227" s="182"/>
      <c r="CS227" s="182"/>
      <c r="CT227" s="182"/>
      <c r="CU227" s="182"/>
      <c r="CV227" s="182"/>
      <c r="CW227" s="182">
        <v>0</v>
      </c>
      <c r="CX227" s="182"/>
      <c r="CY227" s="182"/>
      <c r="CZ227" s="182"/>
      <c r="DA227" s="182">
        <v>0</v>
      </c>
      <c r="DB227" s="188"/>
      <c r="DC227" s="182"/>
      <c r="DD227" s="182"/>
      <c r="DE227" s="187"/>
      <c r="DF227" s="182"/>
      <c r="DG227" s="182"/>
      <c r="DH227" s="189"/>
      <c r="DI227" s="182"/>
      <c r="DJ227" s="182"/>
      <c r="DK227" s="196">
        <f t="shared" si="842"/>
        <v>0</v>
      </c>
      <c r="DL227" s="182"/>
      <c r="DM227" s="182"/>
      <c r="DN227" s="182"/>
      <c r="DO227" s="187"/>
      <c r="DP227" s="187"/>
      <c r="DQ227" s="187"/>
      <c r="DR227" s="183">
        <f t="shared" si="799"/>
        <v>2344</v>
      </c>
      <c r="DS227" s="183">
        <f t="shared" si="799"/>
        <v>82713051.138909727</v>
      </c>
      <c r="DT227" s="182">
        <v>2099</v>
      </c>
      <c r="DU227" s="182">
        <v>72737894.919309601</v>
      </c>
      <c r="DV227" s="167">
        <f t="shared" si="817"/>
        <v>245</v>
      </c>
      <c r="DW227" s="167">
        <f t="shared" si="817"/>
        <v>9975156.2196001261</v>
      </c>
    </row>
    <row r="228" spans="1:127" ht="45" customHeight="1" x14ac:dyDescent="0.25">
      <c r="A228" s="154"/>
      <c r="B228" s="176">
        <v>194</v>
      </c>
      <c r="C228" s="313" t="s">
        <v>541</v>
      </c>
      <c r="D228" s="210" t="s">
        <v>542</v>
      </c>
      <c r="E228" s="158">
        <v>25969</v>
      </c>
      <c r="F228" s="257">
        <v>1.45</v>
      </c>
      <c r="G228" s="168">
        <v>1</v>
      </c>
      <c r="H228" s="169"/>
      <c r="I228" s="169"/>
      <c r="J228" s="169"/>
      <c r="K228" s="195">
        <v>0.28999999999999998</v>
      </c>
      <c r="L228" s="180">
        <v>1.4</v>
      </c>
      <c r="M228" s="180">
        <v>1.68</v>
      </c>
      <c r="N228" s="180">
        <v>2.23</v>
      </c>
      <c r="O228" s="181">
        <v>2.57</v>
      </c>
      <c r="P228" s="182">
        <v>0</v>
      </c>
      <c r="Q228" s="196">
        <f t="shared" si="833"/>
        <v>0</v>
      </c>
      <c r="R228" s="196"/>
      <c r="S228" s="196">
        <f t="shared" si="834"/>
        <v>0</v>
      </c>
      <c r="T228" s="196"/>
      <c r="U228" s="196">
        <f t="shared" si="843"/>
        <v>0</v>
      </c>
      <c r="V228" s="182"/>
      <c r="W228" s="196">
        <f t="shared" si="835"/>
        <v>0</v>
      </c>
      <c r="X228" s="196">
        <v>66</v>
      </c>
      <c r="Y228" s="196">
        <v>3177122.2507199999</v>
      </c>
      <c r="Z228" s="196">
        <v>4</v>
      </c>
      <c r="AA228" s="196">
        <v>209675.36801599996</v>
      </c>
      <c r="AB228" s="182">
        <f t="shared" si="801"/>
        <v>70</v>
      </c>
      <c r="AC228" s="182">
        <f t="shared" si="801"/>
        <v>3386797.6187359998</v>
      </c>
      <c r="AD228" s="182"/>
      <c r="AE228" s="196">
        <f t="shared" si="836"/>
        <v>0</v>
      </c>
      <c r="AF228" s="182"/>
      <c r="AG228" s="182"/>
      <c r="AH228" s="182"/>
      <c r="AI228" s="196">
        <f t="shared" si="837"/>
        <v>0</v>
      </c>
      <c r="AJ228" s="196"/>
      <c r="AK228" s="196"/>
      <c r="AL228" s="182"/>
      <c r="AM228" s="182"/>
      <c r="AN228" s="205"/>
      <c r="AO228" s="196">
        <f t="shared" si="838"/>
        <v>0</v>
      </c>
      <c r="AP228" s="182"/>
      <c r="AQ228" s="196">
        <f t="shared" si="839"/>
        <v>0</v>
      </c>
      <c r="AR228" s="182"/>
      <c r="AS228" s="196">
        <f t="shared" si="840"/>
        <v>0</v>
      </c>
      <c r="AT228" s="182"/>
      <c r="AU228" s="196">
        <f t="shared" si="844"/>
        <v>0</v>
      </c>
      <c r="AV228" s="188">
        <v>42</v>
      </c>
      <c r="AW228" s="196">
        <v>2233477.8600000008</v>
      </c>
      <c r="AX228" s="182"/>
      <c r="AY228" s="196">
        <f t="shared" si="845"/>
        <v>0</v>
      </c>
      <c r="AZ228" s="182"/>
      <c r="BA228" s="182"/>
      <c r="BB228" s="182">
        <v>0</v>
      </c>
      <c r="BC228" s="182"/>
      <c r="BD228" s="182"/>
      <c r="BE228" s="182"/>
      <c r="BF228" s="182"/>
      <c r="BG228" s="182"/>
      <c r="BH228" s="182"/>
      <c r="BI228" s="182"/>
      <c r="BJ228" s="182"/>
      <c r="BK228" s="182"/>
      <c r="BL228" s="182"/>
      <c r="BM228" s="182"/>
      <c r="BN228" s="182"/>
      <c r="BO228" s="182"/>
      <c r="BP228" s="182"/>
      <c r="BQ228" s="182"/>
      <c r="BR228" s="182"/>
      <c r="BS228" s="182"/>
      <c r="BT228" s="182"/>
      <c r="BU228" s="182"/>
      <c r="BV228" s="182"/>
      <c r="BW228" s="182"/>
      <c r="BX228" s="182"/>
      <c r="BY228" s="182"/>
      <c r="BZ228" s="182"/>
      <c r="CA228" s="187"/>
      <c r="CB228" s="182"/>
      <c r="CC228" s="182"/>
      <c r="CD228" s="182"/>
      <c r="CE228" s="182"/>
      <c r="CF228" s="182"/>
      <c r="CG228" s="182"/>
      <c r="CH228" s="182"/>
      <c r="CI228" s="182"/>
      <c r="CJ228" s="182"/>
      <c r="CK228" s="182"/>
      <c r="CL228" s="182"/>
      <c r="CM228" s="182"/>
      <c r="CN228" s="182"/>
      <c r="CO228" s="182"/>
      <c r="CP228" s="182"/>
      <c r="CQ228" s="182"/>
      <c r="CR228" s="182"/>
      <c r="CS228" s="182"/>
      <c r="CT228" s="182"/>
      <c r="CU228" s="182"/>
      <c r="CV228" s="182"/>
      <c r="CW228" s="182">
        <v>0</v>
      </c>
      <c r="CX228" s="182"/>
      <c r="CY228" s="182"/>
      <c r="CZ228" s="182"/>
      <c r="DA228" s="182">
        <v>0</v>
      </c>
      <c r="DB228" s="188"/>
      <c r="DC228" s="182"/>
      <c r="DD228" s="182"/>
      <c r="DE228" s="187"/>
      <c r="DF228" s="182"/>
      <c r="DG228" s="182"/>
      <c r="DH228" s="189"/>
      <c r="DI228" s="182"/>
      <c r="DJ228" s="182"/>
      <c r="DK228" s="196">
        <f t="shared" si="842"/>
        <v>0</v>
      </c>
      <c r="DL228" s="182"/>
      <c r="DM228" s="182"/>
      <c r="DN228" s="182"/>
      <c r="DO228" s="187"/>
      <c r="DP228" s="187"/>
      <c r="DQ228" s="187"/>
      <c r="DR228" s="183">
        <f t="shared" si="799"/>
        <v>112</v>
      </c>
      <c r="DS228" s="183">
        <f t="shared" si="799"/>
        <v>5620275.4787360001</v>
      </c>
      <c r="DT228" s="182">
        <v>110</v>
      </c>
      <c r="DU228" s="182">
        <v>5483551.2988959998</v>
      </c>
      <c r="DV228" s="167">
        <f t="shared" si="817"/>
        <v>2</v>
      </c>
      <c r="DW228" s="167">
        <f t="shared" si="817"/>
        <v>136724.17984000035</v>
      </c>
    </row>
    <row r="229" spans="1:127" ht="45" customHeight="1" x14ac:dyDescent="0.25">
      <c r="A229" s="154"/>
      <c r="B229" s="176">
        <v>195</v>
      </c>
      <c r="C229" s="313" t="s">
        <v>543</v>
      </c>
      <c r="D229" s="210" t="s">
        <v>544</v>
      </c>
      <c r="E229" s="158">
        <v>25969</v>
      </c>
      <c r="F229" s="257">
        <v>2.08</v>
      </c>
      <c r="G229" s="168">
        <v>1</v>
      </c>
      <c r="H229" s="169"/>
      <c r="I229" s="169"/>
      <c r="J229" s="169"/>
      <c r="K229" s="195">
        <v>0.25840000000000002</v>
      </c>
      <c r="L229" s="180">
        <v>1.4</v>
      </c>
      <c r="M229" s="180">
        <v>1.68</v>
      </c>
      <c r="N229" s="180">
        <v>2.23</v>
      </c>
      <c r="O229" s="181">
        <v>2.57</v>
      </c>
      <c r="P229" s="182">
        <v>0</v>
      </c>
      <c r="Q229" s="196">
        <f t="shared" si="833"/>
        <v>0</v>
      </c>
      <c r="R229" s="196"/>
      <c r="S229" s="196">
        <f t="shared" si="834"/>
        <v>0</v>
      </c>
      <c r="T229" s="196"/>
      <c r="U229" s="196">
        <f t="shared" si="843"/>
        <v>0</v>
      </c>
      <c r="V229" s="182"/>
      <c r="W229" s="196">
        <f t="shared" si="835"/>
        <v>0</v>
      </c>
      <c r="X229" s="196">
        <v>440</v>
      </c>
      <c r="Y229" s="196">
        <v>29662523.419443201</v>
      </c>
      <c r="Z229" s="196">
        <v>18</v>
      </c>
      <c r="AA229" s="196">
        <v>1311951.7659156481</v>
      </c>
      <c r="AB229" s="182">
        <f t="shared" si="801"/>
        <v>458</v>
      </c>
      <c r="AC229" s="182">
        <f t="shared" si="801"/>
        <v>30974475.185358848</v>
      </c>
      <c r="AD229" s="182"/>
      <c r="AE229" s="196">
        <f t="shared" si="836"/>
        <v>0</v>
      </c>
      <c r="AF229" s="182"/>
      <c r="AG229" s="182"/>
      <c r="AH229" s="182"/>
      <c r="AI229" s="196">
        <f t="shared" si="837"/>
        <v>0</v>
      </c>
      <c r="AJ229" s="196"/>
      <c r="AK229" s="196"/>
      <c r="AL229" s="182"/>
      <c r="AM229" s="182"/>
      <c r="AN229" s="205"/>
      <c r="AO229" s="196">
        <f t="shared" si="838"/>
        <v>0</v>
      </c>
      <c r="AP229" s="182"/>
      <c r="AQ229" s="196">
        <f t="shared" si="839"/>
        <v>0</v>
      </c>
      <c r="AR229" s="182"/>
      <c r="AS229" s="196">
        <f t="shared" si="840"/>
        <v>0</v>
      </c>
      <c r="AT229" s="182"/>
      <c r="AU229" s="196">
        <f t="shared" si="844"/>
        <v>0</v>
      </c>
      <c r="AV229" s="188">
        <v>198</v>
      </c>
      <c r="AW229" s="196">
        <v>14194589.430000069</v>
      </c>
      <c r="AX229" s="182"/>
      <c r="AY229" s="196">
        <f t="shared" si="845"/>
        <v>0</v>
      </c>
      <c r="AZ229" s="182"/>
      <c r="BA229" s="182"/>
      <c r="BB229" s="182">
        <v>0</v>
      </c>
      <c r="BC229" s="182"/>
      <c r="BD229" s="182"/>
      <c r="BE229" s="182"/>
      <c r="BF229" s="182"/>
      <c r="BG229" s="182"/>
      <c r="BH229" s="182"/>
      <c r="BI229" s="182"/>
      <c r="BJ229" s="182"/>
      <c r="BK229" s="182"/>
      <c r="BL229" s="182"/>
      <c r="BM229" s="182"/>
      <c r="BN229" s="182"/>
      <c r="BO229" s="182"/>
      <c r="BP229" s="182"/>
      <c r="BQ229" s="182"/>
      <c r="BR229" s="182"/>
      <c r="BS229" s="182"/>
      <c r="BT229" s="182"/>
      <c r="BU229" s="182"/>
      <c r="BV229" s="182"/>
      <c r="BW229" s="182"/>
      <c r="BX229" s="182"/>
      <c r="BY229" s="182"/>
      <c r="BZ229" s="182"/>
      <c r="CA229" s="187"/>
      <c r="CB229" s="182"/>
      <c r="CC229" s="182"/>
      <c r="CD229" s="182"/>
      <c r="CE229" s="182"/>
      <c r="CF229" s="182"/>
      <c r="CG229" s="182"/>
      <c r="CH229" s="182"/>
      <c r="CI229" s="182"/>
      <c r="CJ229" s="182"/>
      <c r="CK229" s="182"/>
      <c r="CL229" s="182"/>
      <c r="CM229" s="182"/>
      <c r="CN229" s="182"/>
      <c r="CO229" s="182"/>
      <c r="CP229" s="182"/>
      <c r="CQ229" s="182"/>
      <c r="CR229" s="182"/>
      <c r="CS229" s="182"/>
      <c r="CT229" s="182"/>
      <c r="CU229" s="182"/>
      <c r="CV229" s="182"/>
      <c r="CW229" s="182">
        <v>0</v>
      </c>
      <c r="CX229" s="182"/>
      <c r="CY229" s="182"/>
      <c r="CZ229" s="182"/>
      <c r="DA229" s="182">
        <v>0</v>
      </c>
      <c r="DB229" s="188"/>
      <c r="DC229" s="182"/>
      <c r="DD229" s="182"/>
      <c r="DE229" s="187"/>
      <c r="DF229" s="182"/>
      <c r="DG229" s="182"/>
      <c r="DH229" s="189"/>
      <c r="DI229" s="182"/>
      <c r="DJ229" s="182"/>
      <c r="DK229" s="196">
        <f t="shared" si="842"/>
        <v>0</v>
      </c>
      <c r="DL229" s="182"/>
      <c r="DM229" s="182"/>
      <c r="DN229" s="182"/>
      <c r="DO229" s="187"/>
      <c r="DP229" s="187"/>
      <c r="DQ229" s="187"/>
      <c r="DR229" s="183">
        <f t="shared" ref="DR229:DS243" si="846">SUM(P229,R229,T229,V229,AB229,AJ229,AD229,AF229,AH229,AL229,AN229,AP229,AV229,AZ229,BB229,CF229,AR229,BF229,BH229,BJ229,CT229,BL229,BN229,AT229,BR229,AX229,CV229,BT229,CX229,BV229,BX229,BZ229,CH229,CB229,CD229,CJ229,CL229,CN229,CP229,CR229,CZ229,DB229,BP229,BD229,DD229,DF229,DH229,DJ229,DL229,DN229,DP229)</f>
        <v>656</v>
      </c>
      <c r="DS229" s="183">
        <f t="shared" si="846"/>
        <v>45169064.615358919</v>
      </c>
      <c r="DT229" s="182">
        <v>658</v>
      </c>
      <c r="DU229" s="182">
        <v>45551717.028866053</v>
      </c>
      <c r="DV229" s="167">
        <f t="shared" si="817"/>
        <v>-2</v>
      </c>
      <c r="DW229" s="167">
        <f t="shared" si="817"/>
        <v>-382652.41350713372</v>
      </c>
    </row>
    <row r="230" spans="1:127" ht="45" customHeight="1" x14ac:dyDescent="0.25">
      <c r="A230" s="154"/>
      <c r="B230" s="176">
        <v>196</v>
      </c>
      <c r="C230" s="313" t="s">
        <v>545</v>
      </c>
      <c r="D230" s="210" t="s">
        <v>546</v>
      </c>
      <c r="E230" s="158">
        <v>25969</v>
      </c>
      <c r="F230" s="257">
        <v>2.4900000000000002</v>
      </c>
      <c r="G230" s="168">
        <v>1</v>
      </c>
      <c r="H230" s="169"/>
      <c r="I230" s="169"/>
      <c r="J230" s="169"/>
      <c r="K230" s="195">
        <v>8.6499999999999994E-2</v>
      </c>
      <c r="L230" s="180">
        <v>1.4</v>
      </c>
      <c r="M230" s="180">
        <v>1.68</v>
      </c>
      <c r="N230" s="180">
        <v>2.23</v>
      </c>
      <c r="O230" s="181">
        <v>2.57</v>
      </c>
      <c r="P230" s="182">
        <v>0</v>
      </c>
      <c r="Q230" s="196">
        <f t="shared" si="833"/>
        <v>0</v>
      </c>
      <c r="R230" s="196"/>
      <c r="S230" s="196">
        <f t="shared" si="834"/>
        <v>0</v>
      </c>
      <c r="T230" s="196"/>
      <c r="U230" s="196">
        <f t="shared" si="843"/>
        <v>0</v>
      </c>
      <c r="V230" s="182"/>
      <c r="W230" s="196">
        <f t="shared" si="835"/>
        <v>0</v>
      </c>
      <c r="X230" s="196">
        <v>335</v>
      </c>
      <c r="Y230" s="196">
        <v>23460857.263704002</v>
      </c>
      <c r="Z230" s="196">
        <v>5</v>
      </c>
      <c r="AA230" s="196">
        <v>361124.98151940003</v>
      </c>
      <c r="AB230" s="182">
        <f t="shared" si="801"/>
        <v>340</v>
      </c>
      <c r="AC230" s="182">
        <f t="shared" si="801"/>
        <v>23821982.245223403</v>
      </c>
      <c r="AD230" s="182"/>
      <c r="AE230" s="196">
        <f t="shared" si="836"/>
        <v>0</v>
      </c>
      <c r="AF230" s="182"/>
      <c r="AG230" s="182"/>
      <c r="AH230" s="182"/>
      <c r="AI230" s="196">
        <f t="shared" si="837"/>
        <v>0</v>
      </c>
      <c r="AJ230" s="196"/>
      <c r="AK230" s="196"/>
      <c r="AL230" s="182"/>
      <c r="AM230" s="182"/>
      <c r="AN230" s="205"/>
      <c r="AO230" s="196">
        <f t="shared" si="838"/>
        <v>0</v>
      </c>
      <c r="AP230" s="182"/>
      <c r="AQ230" s="196">
        <f t="shared" si="839"/>
        <v>0</v>
      </c>
      <c r="AR230" s="182"/>
      <c r="AS230" s="196">
        <f t="shared" si="840"/>
        <v>0</v>
      </c>
      <c r="AT230" s="182"/>
      <c r="AU230" s="196">
        <f t="shared" si="844"/>
        <v>0</v>
      </c>
      <c r="AV230" s="188">
        <v>54</v>
      </c>
      <c r="AW230" s="196">
        <v>3826229.22</v>
      </c>
      <c r="AX230" s="182"/>
      <c r="AY230" s="196">
        <f t="shared" si="845"/>
        <v>0</v>
      </c>
      <c r="AZ230" s="182"/>
      <c r="BA230" s="182"/>
      <c r="BB230" s="182">
        <v>0</v>
      </c>
      <c r="BC230" s="182"/>
      <c r="BD230" s="182"/>
      <c r="BE230" s="182"/>
      <c r="BF230" s="182"/>
      <c r="BG230" s="182"/>
      <c r="BH230" s="182"/>
      <c r="BI230" s="182"/>
      <c r="BJ230" s="182"/>
      <c r="BK230" s="182"/>
      <c r="BL230" s="182"/>
      <c r="BM230" s="182"/>
      <c r="BN230" s="182"/>
      <c r="BO230" s="182"/>
      <c r="BP230" s="182"/>
      <c r="BQ230" s="182"/>
      <c r="BR230" s="182"/>
      <c r="BS230" s="182"/>
      <c r="BT230" s="182"/>
      <c r="BU230" s="182"/>
      <c r="BV230" s="182"/>
      <c r="BW230" s="182"/>
      <c r="BX230" s="182"/>
      <c r="BY230" s="182"/>
      <c r="BZ230" s="182"/>
      <c r="CA230" s="187"/>
      <c r="CB230" s="182"/>
      <c r="CC230" s="182"/>
      <c r="CD230" s="182"/>
      <c r="CE230" s="182"/>
      <c r="CF230" s="182"/>
      <c r="CG230" s="182"/>
      <c r="CH230" s="182"/>
      <c r="CI230" s="182"/>
      <c r="CJ230" s="182"/>
      <c r="CK230" s="182"/>
      <c r="CL230" s="182"/>
      <c r="CM230" s="182"/>
      <c r="CN230" s="182"/>
      <c r="CO230" s="182"/>
      <c r="CP230" s="182"/>
      <c r="CQ230" s="182"/>
      <c r="CR230" s="182"/>
      <c r="CS230" s="182"/>
      <c r="CT230" s="182"/>
      <c r="CU230" s="182"/>
      <c r="CV230" s="182"/>
      <c r="CW230" s="182">
        <v>0</v>
      </c>
      <c r="CX230" s="182"/>
      <c r="CY230" s="182"/>
      <c r="CZ230" s="182"/>
      <c r="DA230" s="182">
        <v>0</v>
      </c>
      <c r="DB230" s="188"/>
      <c r="DC230" s="182"/>
      <c r="DD230" s="182"/>
      <c r="DE230" s="187"/>
      <c r="DF230" s="182"/>
      <c r="DG230" s="182"/>
      <c r="DH230" s="189"/>
      <c r="DI230" s="182"/>
      <c r="DJ230" s="182"/>
      <c r="DK230" s="196">
        <f t="shared" si="842"/>
        <v>0</v>
      </c>
      <c r="DL230" s="182"/>
      <c r="DM230" s="182"/>
      <c r="DN230" s="182"/>
      <c r="DO230" s="187"/>
      <c r="DP230" s="187"/>
      <c r="DQ230" s="187"/>
      <c r="DR230" s="183">
        <f t="shared" si="846"/>
        <v>394</v>
      </c>
      <c r="DS230" s="183">
        <f t="shared" si="846"/>
        <v>27648211.465223402</v>
      </c>
      <c r="DT230" s="182">
        <v>389</v>
      </c>
      <c r="DU230" s="182">
        <v>27361007.06411352</v>
      </c>
      <c r="DV230" s="167">
        <f t="shared" si="817"/>
        <v>5</v>
      </c>
      <c r="DW230" s="167">
        <f t="shared" si="817"/>
        <v>287204.4011098817</v>
      </c>
    </row>
    <row r="231" spans="1:127" ht="45" customHeight="1" x14ac:dyDescent="0.25">
      <c r="A231" s="154"/>
      <c r="B231" s="176">
        <v>197</v>
      </c>
      <c r="C231" s="313" t="s">
        <v>547</v>
      </c>
      <c r="D231" s="210" t="s">
        <v>548</v>
      </c>
      <c r="E231" s="158">
        <v>25969</v>
      </c>
      <c r="F231" s="257">
        <v>3.21</v>
      </c>
      <c r="G231" s="168">
        <v>1</v>
      </c>
      <c r="H231" s="169"/>
      <c r="I231" s="169"/>
      <c r="J231" s="169"/>
      <c r="K231" s="195">
        <v>9.64E-2</v>
      </c>
      <c r="L231" s="180">
        <v>1.4</v>
      </c>
      <c r="M231" s="180">
        <v>1.68</v>
      </c>
      <c r="N231" s="180">
        <v>2.23</v>
      </c>
      <c r="O231" s="181">
        <v>2.57</v>
      </c>
      <c r="P231" s="182">
        <v>0</v>
      </c>
      <c r="Q231" s="196">
        <f t="shared" si="833"/>
        <v>0</v>
      </c>
      <c r="R231" s="196"/>
      <c r="S231" s="196">
        <f t="shared" si="834"/>
        <v>0</v>
      </c>
      <c r="T231" s="196"/>
      <c r="U231" s="196">
        <f t="shared" si="843"/>
        <v>0</v>
      </c>
      <c r="V231" s="182"/>
      <c r="W231" s="196">
        <f t="shared" si="835"/>
        <v>0</v>
      </c>
      <c r="X231" s="196">
        <v>139</v>
      </c>
      <c r="Y231" s="196">
        <v>12659425.442931838</v>
      </c>
      <c r="Z231" s="196">
        <v>7</v>
      </c>
      <c r="AA231" s="196">
        <v>659575.67249750404</v>
      </c>
      <c r="AB231" s="182">
        <f t="shared" si="801"/>
        <v>146</v>
      </c>
      <c r="AC231" s="182">
        <f t="shared" si="801"/>
        <v>13319001.115429342</v>
      </c>
      <c r="AD231" s="182"/>
      <c r="AE231" s="196">
        <f t="shared" si="836"/>
        <v>0</v>
      </c>
      <c r="AF231" s="182"/>
      <c r="AG231" s="182"/>
      <c r="AH231" s="182"/>
      <c r="AI231" s="196">
        <f t="shared" si="837"/>
        <v>0</v>
      </c>
      <c r="AJ231" s="196"/>
      <c r="AK231" s="196"/>
      <c r="AL231" s="182"/>
      <c r="AM231" s="182"/>
      <c r="AN231" s="205"/>
      <c r="AO231" s="196">
        <f t="shared" si="838"/>
        <v>0</v>
      </c>
      <c r="AP231" s="182"/>
      <c r="AQ231" s="196">
        <f t="shared" si="839"/>
        <v>0</v>
      </c>
      <c r="AR231" s="182"/>
      <c r="AS231" s="196">
        <f t="shared" si="840"/>
        <v>0</v>
      </c>
      <c r="AT231" s="182"/>
      <c r="AU231" s="196">
        <f t="shared" si="844"/>
        <v>0</v>
      </c>
      <c r="AV231" s="188">
        <v>75</v>
      </c>
      <c r="AW231" s="196">
        <v>7041052.5999999978</v>
      </c>
      <c r="AX231" s="182"/>
      <c r="AY231" s="196">
        <f t="shared" si="845"/>
        <v>0</v>
      </c>
      <c r="AZ231" s="182"/>
      <c r="BA231" s="182"/>
      <c r="BB231" s="182">
        <v>0</v>
      </c>
      <c r="BC231" s="182"/>
      <c r="BD231" s="182"/>
      <c r="BE231" s="182"/>
      <c r="BF231" s="182"/>
      <c r="BG231" s="182"/>
      <c r="BH231" s="182"/>
      <c r="BI231" s="182"/>
      <c r="BJ231" s="182"/>
      <c r="BK231" s="182"/>
      <c r="BL231" s="182"/>
      <c r="BM231" s="182"/>
      <c r="BN231" s="182"/>
      <c r="BO231" s="182"/>
      <c r="BP231" s="182"/>
      <c r="BQ231" s="182"/>
      <c r="BR231" s="182"/>
      <c r="BS231" s="182"/>
      <c r="BT231" s="182"/>
      <c r="BU231" s="182"/>
      <c r="BV231" s="182"/>
      <c r="BW231" s="182"/>
      <c r="BX231" s="182"/>
      <c r="BY231" s="182"/>
      <c r="BZ231" s="182"/>
      <c r="CA231" s="187"/>
      <c r="CB231" s="182"/>
      <c r="CC231" s="182"/>
      <c r="CD231" s="182"/>
      <c r="CE231" s="182"/>
      <c r="CF231" s="182"/>
      <c r="CG231" s="182"/>
      <c r="CH231" s="182"/>
      <c r="CI231" s="182"/>
      <c r="CJ231" s="182"/>
      <c r="CK231" s="182"/>
      <c r="CL231" s="182"/>
      <c r="CM231" s="182"/>
      <c r="CN231" s="182"/>
      <c r="CO231" s="182"/>
      <c r="CP231" s="182"/>
      <c r="CQ231" s="182"/>
      <c r="CR231" s="182"/>
      <c r="CS231" s="182"/>
      <c r="CT231" s="182"/>
      <c r="CU231" s="182"/>
      <c r="CV231" s="182"/>
      <c r="CW231" s="182">
        <v>0</v>
      </c>
      <c r="CX231" s="182"/>
      <c r="CY231" s="182"/>
      <c r="CZ231" s="182"/>
      <c r="DA231" s="182">
        <v>0</v>
      </c>
      <c r="DB231" s="188"/>
      <c r="DC231" s="182"/>
      <c r="DD231" s="182"/>
      <c r="DE231" s="187"/>
      <c r="DF231" s="182"/>
      <c r="DG231" s="182"/>
      <c r="DH231" s="189"/>
      <c r="DI231" s="182"/>
      <c r="DJ231" s="182"/>
      <c r="DK231" s="196">
        <f t="shared" si="842"/>
        <v>0</v>
      </c>
      <c r="DL231" s="182"/>
      <c r="DM231" s="182"/>
      <c r="DN231" s="182"/>
      <c r="DO231" s="187"/>
      <c r="DP231" s="187"/>
      <c r="DQ231" s="187"/>
      <c r="DR231" s="183">
        <f t="shared" si="846"/>
        <v>221</v>
      </c>
      <c r="DS231" s="183">
        <f t="shared" si="846"/>
        <v>20360053.71542934</v>
      </c>
      <c r="DT231" s="182">
        <v>217</v>
      </c>
      <c r="DU231" s="182">
        <v>20008982.936475456</v>
      </c>
      <c r="DV231" s="167">
        <f t="shared" si="817"/>
        <v>4</v>
      </c>
      <c r="DW231" s="167">
        <f t="shared" si="817"/>
        <v>351070.7789538838</v>
      </c>
    </row>
    <row r="232" spans="1:127" ht="45" customHeight="1" x14ac:dyDescent="0.25">
      <c r="A232" s="154"/>
      <c r="B232" s="176">
        <v>198</v>
      </c>
      <c r="C232" s="313" t="s">
        <v>549</v>
      </c>
      <c r="D232" s="210" t="s">
        <v>550</v>
      </c>
      <c r="E232" s="158">
        <v>25969</v>
      </c>
      <c r="F232" s="257">
        <v>3.97</v>
      </c>
      <c r="G232" s="168">
        <v>1</v>
      </c>
      <c r="H232" s="169"/>
      <c r="I232" s="169"/>
      <c r="J232" s="169"/>
      <c r="K232" s="195">
        <v>8.3000000000000004E-2</v>
      </c>
      <c r="L232" s="180">
        <v>1.4</v>
      </c>
      <c r="M232" s="180">
        <v>1.68</v>
      </c>
      <c r="N232" s="180">
        <v>2.23</v>
      </c>
      <c r="O232" s="181">
        <v>2.57</v>
      </c>
      <c r="P232" s="182">
        <v>0</v>
      </c>
      <c r="Q232" s="196">
        <f t="shared" si="833"/>
        <v>0</v>
      </c>
      <c r="R232" s="196"/>
      <c r="S232" s="196">
        <f t="shared" si="834"/>
        <v>0</v>
      </c>
      <c r="T232" s="196"/>
      <c r="U232" s="196">
        <f t="shared" si="843"/>
        <v>0</v>
      </c>
      <c r="V232" s="182"/>
      <c r="W232" s="196">
        <f t="shared" si="835"/>
        <v>0</v>
      </c>
      <c r="X232" s="196">
        <v>142</v>
      </c>
      <c r="Y232" s="196">
        <v>15806260.460300799</v>
      </c>
      <c r="Z232" s="196">
        <v>6</v>
      </c>
      <c r="AA232" s="196">
        <v>687996.33058128017</v>
      </c>
      <c r="AB232" s="182">
        <f t="shared" si="801"/>
        <v>148</v>
      </c>
      <c r="AC232" s="182">
        <f t="shared" si="801"/>
        <v>16494256.790882079</v>
      </c>
      <c r="AD232" s="182"/>
      <c r="AE232" s="196">
        <f t="shared" si="836"/>
        <v>0</v>
      </c>
      <c r="AF232" s="182"/>
      <c r="AG232" s="182"/>
      <c r="AH232" s="182"/>
      <c r="AI232" s="196">
        <f t="shared" si="837"/>
        <v>0</v>
      </c>
      <c r="AJ232" s="196"/>
      <c r="AK232" s="196"/>
      <c r="AL232" s="182"/>
      <c r="AM232" s="182"/>
      <c r="AN232" s="205"/>
      <c r="AO232" s="196">
        <f t="shared" si="838"/>
        <v>0</v>
      </c>
      <c r="AP232" s="182"/>
      <c r="AQ232" s="196">
        <f t="shared" si="839"/>
        <v>0</v>
      </c>
      <c r="AR232" s="182"/>
      <c r="AS232" s="196">
        <f t="shared" si="840"/>
        <v>0</v>
      </c>
      <c r="AT232" s="182"/>
      <c r="AU232" s="196">
        <f t="shared" si="844"/>
        <v>0</v>
      </c>
      <c r="AV232" s="188">
        <v>66</v>
      </c>
      <c r="AW232" s="196">
        <v>7567959.9599999897</v>
      </c>
      <c r="AX232" s="182"/>
      <c r="AY232" s="196">
        <f t="shared" si="845"/>
        <v>0</v>
      </c>
      <c r="AZ232" s="182"/>
      <c r="BA232" s="182"/>
      <c r="BB232" s="182">
        <v>0</v>
      </c>
      <c r="BC232" s="182"/>
      <c r="BD232" s="182"/>
      <c r="BE232" s="182"/>
      <c r="BF232" s="182"/>
      <c r="BG232" s="182"/>
      <c r="BH232" s="182"/>
      <c r="BI232" s="182"/>
      <c r="BJ232" s="182"/>
      <c r="BK232" s="182"/>
      <c r="BL232" s="182"/>
      <c r="BM232" s="182"/>
      <c r="BN232" s="182"/>
      <c r="BO232" s="182"/>
      <c r="BP232" s="182"/>
      <c r="BQ232" s="182"/>
      <c r="BR232" s="182"/>
      <c r="BS232" s="182"/>
      <c r="BT232" s="182"/>
      <c r="BU232" s="182"/>
      <c r="BV232" s="182"/>
      <c r="BW232" s="182"/>
      <c r="BX232" s="182"/>
      <c r="BY232" s="182"/>
      <c r="BZ232" s="182"/>
      <c r="CA232" s="187"/>
      <c r="CB232" s="182"/>
      <c r="CC232" s="182"/>
      <c r="CD232" s="182"/>
      <c r="CE232" s="182"/>
      <c r="CF232" s="182"/>
      <c r="CG232" s="182"/>
      <c r="CH232" s="182"/>
      <c r="CI232" s="182"/>
      <c r="CJ232" s="182"/>
      <c r="CK232" s="182"/>
      <c r="CL232" s="182"/>
      <c r="CM232" s="182"/>
      <c r="CN232" s="182"/>
      <c r="CO232" s="182"/>
      <c r="CP232" s="182"/>
      <c r="CQ232" s="182"/>
      <c r="CR232" s="182"/>
      <c r="CS232" s="182"/>
      <c r="CT232" s="182"/>
      <c r="CU232" s="182"/>
      <c r="CV232" s="182"/>
      <c r="CW232" s="182">
        <v>0</v>
      </c>
      <c r="CX232" s="182"/>
      <c r="CY232" s="182"/>
      <c r="CZ232" s="182"/>
      <c r="DA232" s="182">
        <v>0</v>
      </c>
      <c r="DB232" s="188"/>
      <c r="DC232" s="182"/>
      <c r="DD232" s="182"/>
      <c r="DE232" s="187"/>
      <c r="DF232" s="182"/>
      <c r="DG232" s="182"/>
      <c r="DH232" s="189"/>
      <c r="DI232" s="182"/>
      <c r="DJ232" s="182"/>
      <c r="DK232" s="196">
        <f t="shared" si="842"/>
        <v>0</v>
      </c>
      <c r="DL232" s="182"/>
      <c r="DM232" s="182"/>
      <c r="DN232" s="182"/>
      <c r="DO232" s="187"/>
      <c r="DP232" s="187"/>
      <c r="DQ232" s="187"/>
      <c r="DR232" s="183">
        <f t="shared" si="846"/>
        <v>214</v>
      </c>
      <c r="DS232" s="183">
        <f t="shared" si="846"/>
        <v>24062216.750882067</v>
      </c>
      <c r="DT232" s="182">
        <v>214</v>
      </c>
      <c r="DU232" s="182">
        <v>24062216.427276161</v>
      </c>
      <c r="DV232" s="167">
        <f t="shared" si="817"/>
        <v>0</v>
      </c>
      <c r="DW232" s="167">
        <f t="shared" si="817"/>
        <v>0.32360590621829033</v>
      </c>
    </row>
    <row r="233" spans="1:127" ht="45" customHeight="1" x14ac:dyDescent="0.25">
      <c r="A233" s="154"/>
      <c r="B233" s="176">
        <v>199</v>
      </c>
      <c r="C233" s="313" t="s">
        <v>551</v>
      </c>
      <c r="D233" s="210" t="s">
        <v>552</v>
      </c>
      <c r="E233" s="158">
        <v>25969</v>
      </c>
      <c r="F233" s="257">
        <v>4.47</v>
      </c>
      <c r="G233" s="168">
        <v>1</v>
      </c>
      <c r="H233" s="169"/>
      <c r="I233" s="169"/>
      <c r="J233" s="169"/>
      <c r="K233" s="195">
        <v>8.2500000000000004E-2</v>
      </c>
      <c r="L233" s="180">
        <v>1.4</v>
      </c>
      <c r="M233" s="180">
        <v>1.68</v>
      </c>
      <c r="N233" s="180">
        <v>2.23</v>
      </c>
      <c r="O233" s="181">
        <v>2.57</v>
      </c>
      <c r="P233" s="182">
        <v>0</v>
      </c>
      <c r="Q233" s="196">
        <f t="shared" si="833"/>
        <v>0</v>
      </c>
      <c r="R233" s="196"/>
      <c r="S233" s="196">
        <f t="shared" si="834"/>
        <v>0</v>
      </c>
      <c r="T233" s="196"/>
      <c r="U233" s="196">
        <f t="shared" si="843"/>
        <v>0</v>
      </c>
      <c r="V233" s="182"/>
      <c r="W233" s="196">
        <f t="shared" si="835"/>
        <v>0</v>
      </c>
      <c r="X233" s="196">
        <v>115</v>
      </c>
      <c r="Y233" s="196">
        <v>14406634.114439998</v>
      </c>
      <c r="Z233" s="196">
        <v>7</v>
      </c>
      <c r="AA233" s="196">
        <v>903204.06891539996</v>
      </c>
      <c r="AB233" s="182">
        <f t="shared" si="801"/>
        <v>122</v>
      </c>
      <c r="AC233" s="182">
        <f t="shared" si="801"/>
        <v>15309838.183355398</v>
      </c>
      <c r="AD233" s="182"/>
      <c r="AE233" s="196">
        <f t="shared" si="836"/>
        <v>0</v>
      </c>
      <c r="AF233" s="182"/>
      <c r="AG233" s="182"/>
      <c r="AH233" s="182"/>
      <c r="AI233" s="196">
        <f t="shared" si="837"/>
        <v>0</v>
      </c>
      <c r="AJ233" s="196"/>
      <c r="AK233" s="196"/>
      <c r="AL233" s="182"/>
      <c r="AM233" s="182"/>
      <c r="AN233" s="205"/>
      <c r="AO233" s="196">
        <f t="shared" si="838"/>
        <v>0</v>
      </c>
      <c r="AP233" s="182"/>
      <c r="AQ233" s="196">
        <f t="shared" si="839"/>
        <v>0</v>
      </c>
      <c r="AR233" s="182"/>
      <c r="AS233" s="196">
        <f t="shared" si="840"/>
        <v>0</v>
      </c>
      <c r="AT233" s="182"/>
      <c r="AU233" s="196">
        <f t="shared" si="844"/>
        <v>0</v>
      </c>
      <c r="AV233" s="188">
        <v>77</v>
      </c>
      <c r="AW233" s="196">
        <v>9902987.2600000147</v>
      </c>
      <c r="AX233" s="182"/>
      <c r="AY233" s="196">
        <f t="shared" si="845"/>
        <v>0</v>
      </c>
      <c r="AZ233" s="182"/>
      <c r="BA233" s="182"/>
      <c r="BB233" s="182">
        <v>0</v>
      </c>
      <c r="BC233" s="182"/>
      <c r="BD233" s="182"/>
      <c r="BE233" s="182"/>
      <c r="BF233" s="182"/>
      <c r="BG233" s="182"/>
      <c r="BH233" s="182"/>
      <c r="BI233" s="182"/>
      <c r="BJ233" s="182"/>
      <c r="BK233" s="182"/>
      <c r="BL233" s="182"/>
      <c r="BM233" s="182"/>
      <c r="BN233" s="182"/>
      <c r="BO233" s="182"/>
      <c r="BP233" s="182"/>
      <c r="BQ233" s="182"/>
      <c r="BR233" s="182"/>
      <c r="BS233" s="182"/>
      <c r="BT233" s="182"/>
      <c r="BU233" s="182"/>
      <c r="BV233" s="182"/>
      <c r="BW233" s="182"/>
      <c r="BX233" s="182"/>
      <c r="BY233" s="182"/>
      <c r="BZ233" s="182"/>
      <c r="CA233" s="187"/>
      <c r="CB233" s="182"/>
      <c r="CC233" s="182"/>
      <c r="CD233" s="182"/>
      <c r="CE233" s="182"/>
      <c r="CF233" s="182"/>
      <c r="CG233" s="182"/>
      <c r="CH233" s="182"/>
      <c r="CI233" s="182"/>
      <c r="CJ233" s="182"/>
      <c r="CK233" s="182"/>
      <c r="CL233" s="182"/>
      <c r="CM233" s="182"/>
      <c r="CN233" s="182"/>
      <c r="CO233" s="182"/>
      <c r="CP233" s="182"/>
      <c r="CQ233" s="182"/>
      <c r="CR233" s="182"/>
      <c r="CS233" s="182"/>
      <c r="CT233" s="182"/>
      <c r="CU233" s="182"/>
      <c r="CV233" s="182"/>
      <c r="CW233" s="182">
        <v>0</v>
      </c>
      <c r="CX233" s="182"/>
      <c r="CY233" s="182"/>
      <c r="CZ233" s="182"/>
      <c r="DA233" s="182">
        <v>0</v>
      </c>
      <c r="DB233" s="188"/>
      <c r="DC233" s="182"/>
      <c r="DD233" s="182"/>
      <c r="DE233" s="187"/>
      <c r="DF233" s="182"/>
      <c r="DG233" s="182"/>
      <c r="DH233" s="189"/>
      <c r="DI233" s="182"/>
      <c r="DJ233" s="182"/>
      <c r="DK233" s="196">
        <f t="shared" si="842"/>
        <v>0</v>
      </c>
      <c r="DL233" s="182"/>
      <c r="DM233" s="182"/>
      <c r="DN233" s="182"/>
      <c r="DO233" s="187"/>
      <c r="DP233" s="187"/>
      <c r="DQ233" s="187"/>
      <c r="DR233" s="183">
        <f t="shared" si="846"/>
        <v>199</v>
      </c>
      <c r="DS233" s="183">
        <f t="shared" si="846"/>
        <v>25212825.443355411</v>
      </c>
      <c r="DT233" s="182">
        <v>203</v>
      </c>
      <c r="DU233" s="182">
        <v>25761199.552233599</v>
      </c>
      <c r="DV233" s="167">
        <f t="shared" si="817"/>
        <v>-4</v>
      </c>
      <c r="DW233" s="167">
        <f t="shared" si="817"/>
        <v>-548374.10887818784</v>
      </c>
    </row>
    <row r="234" spans="1:127" ht="45" customHeight="1" x14ac:dyDescent="0.25">
      <c r="A234" s="154"/>
      <c r="B234" s="176">
        <v>200</v>
      </c>
      <c r="C234" s="313" t="s">
        <v>553</v>
      </c>
      <c r="D234" s="210" t="s">
        <v>554</v>
      </c>
      <c r="E234" s="158">
        <v>25969</v>
      </c>
      <c r="F234" s="257">
        <v>4.8899999999999997</v>
      </c>
      <c r="G234" s="168">
        <v>1</v>
      </c>
      <c r="H234" s="169"/>
      <c r="I234" s="169"/>
      <c r="J234" s="169"/>
      <c r="K234" s="195">
        <v>5.8099999999999999E-2</v>
      </c>
      <c r="L234" s="180">
        <v>1.4</v>
      </c>
      <c r="M234" s="180">
        <v>1.68</v>
      </c>
      <c r="N234" s="180">
        <v>2.23</v>
      </c>
      <c r="O234" s="181">
        <v>2.57</v>
      </c>
      <c r="P234" s="182">
        <v>0</v>
      </c>
      <c r="Q234" s="196">
        <f t="shared" si="833"/>
        <v>0</v>
      </c>
      <c r="R234" s="196"/>
      <c r="S234" s="196">
        <f t="shared" si="834"/>
        <v>0</v>
      </c>
      <c r="T234" s="196"/>
      <c r="U234" s="196">
        <f t="shared" si="843"/>
        <v>0</v>
      </c>
      <c r="V234" s="182"/>
      <c r="W234" s="196">
        <f t="shared" si="835"/>
        <v>0</v>
      </c>
      <c r="X234" s="196">
        <v>173</v>
      </c>
      <c r="Y234" s="196">
        <v>23194337.591215681</v>
      </c>
      <c r="Z234" s="196">
        <v>8</v>
      </c>
      <c r="AA234" s="196">
        <v>1095708.0159327358</v>
      </c>
      <c r="AB234" s="182">
        <f t="shared" si="801"/>
        <v>181</v>
      </c>
      <c r="AC234" s="182">
        <f t="shared" si="801"/>
        <v>24290045.607148416</v>
      </c>
      <c r="AD234" s="182"/>
      <c r="AE234" s="196">
        <f t="shared" si="836"/>
        <v>0</v>
      </c>
      <c r="AF234" s="182"/>
      <c r="AG234" s="182"/>
      <c r="AH234" s="182"/>
      <c r="AI234" s="196">
        <f t="shared" si="837"/>
        <v>0</v>
      </c>
      <c r="AJ234" s="196"/>
      <c r="AK234" s="196"/>
      <c r="AL234" s="182"/>
      <c r="AM234" s="182"/>
      <c r="AN234" s="205"/>
      <c r="AO234" s="196">
        <f t="shared" si="838"/>
        <v>0</v>
      </c>
      <c r="AP234" s="182"/>
      <c r="AQ234" s="196">
        <f t="shared" si="839"/>
        <v>0</v>
      </c>
      <c r="AR234" s="182"/>
      <c r="AS234" s="196">
        <f t="shared" si="840"/>
        <v>0</v>
      </c>
      <c r="AT234" s="182"/>
      <c r="AU234" s="196">
        <f t="shared" si="844"/>
        <v>0</v>
      </c>
      <c r="AV234" s="188">
        <v>111</v>
      </c>
      <c r="AW234" s="196">
        <v>15202948.5</v>
      </c>
      <c r="AX234" s="182"/>
      <c r="AY234" s="196">
        <f t="shared" si="845"/>
        <v>0</v>
      </c>
      <c r="AZ234" s="182"/>
      <c r="BA234" s="182"/>
      <c r="BB234" s="182">
        <v>0</v>
      </c>
      <c r="BC234" s="182"/>
      <c r="BD234" s="182"/>
      <c r="BE234" s="182"/>
      <c r="BF234" s="182"/>
      <c r="BG234" s="182"/>
      <c r="BH234" s="182"/>
      <c r="BI234" s="182"/>
      <c r="BJ234" s="182"/>
      <c r="BK234" s="182"/>
      <c r="BL234" s="182"/>
      <c r="BM234" s="182"/>
      <c r="BN234" s="182"/>
      <c r="BO234" s="182"/>
      <c r="BP234" s="182"/>
      <c r="BQ234" s="182"/>
      <c r="BR234" s="182"/>
      <c r="BS234" s="182"/>
      <c r="BT234" s="182"/>
      <c r="BU234" s="182"/>
      <c r="BV234" s="182"/>
      <c r="BW234" s="182"/>
      <c r="BX234" s="182"/>
      <c r="BY234" s="182"/>
      <c r="BZ234" s="182"/>
      <c r="CA234" s="187"/>
      <c r="CB234" s="182"/>
      <c r="CC234" s="182"/>
      <c r="CD234" s="182"/>
      <c r="CE234" s="182"/>
      <c r="CF234" s="182"/>
      <c r="CG234" s="182"/>
      <c r="CH234" s="182"/>
      <c r="CI234" s="182"/>
      <c r="CJ234" s="182"/>
      <c r="CK234" s="182"/>
      <c r="CL234" s="182"/>
      <c r="CM234" s="182"/>
      <c r="CN234" s="182"/>
      <c r="CO234" s="182"/>
      <c r="CP234" s="182"/>
      <c r="CQ234" s="182"/>
      <c r="CR234" s="182"/>
      <c r="CS234" s="182"/>
      <c r="CT234" s="182"/>
      <c r="CU234" s="182"/>
      <c r="CV234" s="182"/>
      <c r="CW234" s="182">
        <v>0</v>
      </c>
      <c r="CX234" s="182"/>
      <c r="CY234" s="182"/>
      <c r="CZ234" s="182"/>
      <c r="DA234" s="182">
        <v>0</v>
      </c>
      <c r="DB234" s="188"/>
      <c r="DC234" s="182"/>
      <c r="DD234" s="182"/>
      <c r="DE234" s="187"/>
      <c r="DF234" s="182"/>
      <c r="DG234" s="182"/>
      <c r="DH234" s="189"/>
      <c r="DI234" s="182"/>
      <c r="DJ234" s="182"/>
      <c r="DK234" s="196">
        <f t="shared" si="842"/>
        <v>0</v>
      </c>
      <c r="DL234" s="182"/>
      <c r="DM234" s="182"/>
      <c r="DN234" s="182"/>
      <c r="DO234" s="187"/>
      <c r="DP234" s="187"/>
      <c r="DQ234" s="187"/>
      <c r="DR234" s="183">
        <f t="shared" si="846"/>
        <v>292</v>
      </c>
      <c r="DS234" s="183">
        <f t="shared" si="846"/>
        <v>39492994.107148416</v>
      </c>
      <c r="DT234" s="182">
        <v>267</v>
      </c>
      <c r="DU234" s="182">
        <v>36068906.778425328</v>
      </c>
      <c r="DV234" s="167">
        <f t="shared" si="817"/>
        <v>25</v>
      </c>
      <c r="DW234" s="167">
        <f t="shared" si="817"/>
        <v>3424087.3287230879</v>
      </c>
    </row>
    <row r="235" spans="1:127" ht="45" customHeight="1" x14ac:dyDescent="0.25">
      <c r="A235" s="154"/>
      <c r="B235" s="176">
        <v>201</v>
      </c>
      <c r="C235" s="313" t="s">
        <v>555</v>
      </c>
      <c r="D235" s="210" t="s">
        <v>556</v>
      </c>
      <c r="E235" s="158">
        <v>25969</v>
      </c>
      <c r="F235" s="257">
        <v>5.51</v>
      </c>
      <c r="G235" s="168">
        <v>1</v>
      </c>
      <c r="H235" s="169"/>
      <c r="I235" s="169"/>
      <c r="J235" s="169"/>
      <c r="K235" s="195">
        <v>6.3600000000000004E-2</v>
      </c>
      <c r="L235" s="180">
        <v>1.4</v>
      </c>
      <c r="M235" s="180">
        <v>1.68</v>
      </c>
      <c r="N235" s="180">
        <v>2.23</v>
      </c>
      <c r="O235" s="181">
        <v>2.57</v>
      </c>
      <c r="P235" s="182">
        <v>0</v>
      </c>
      <c r="Q235" s="196">
        <f t="shared" si="833"/>
        <v>0</v>
      </c>
      <c r="R235" s="196"/>
      <c r="S235" s="196">
        <f t="shared" si="834"/>
        <v>0</v>
      </c>
      <c r="T235" s="196"/>
      <c r="U235" s="196">
        <f t="shared" si="843"/>
        <v>0</v>
      </c>
      <c r="V235" s="182"/>
      <c r="W235" s="196">
        <f t="shared" si="835"/>
        <v>0</v>
      </c>
      <c r="X235" s="196">
        <v>67</v>
      </c>
      <c r="Y235" s="196">
        <v>10172318.12017088</v>
      </c>
      <c r="Z235" s="196">
        <v>3</v>
      </c>
      <c r="AA235" s="196">
        <v>466179.08639510395</v>
      </c>
      <c r="AB235" s="182">
        <f t="shared" si="801"/>
        <v>70</v>
      </c>
      <c r="AC235" s="182">
        <f t="shared" si="801"/>
        <v>10638497.206565984</v>
      </c>
      <c r="AD235" s="182"/>
      <c r="AE235" s="196">
        <f t="shared" si="836"/>
        <v>0</v>
      </c>
      <c r="AF235" s="182"/>
      <c r="AG235" s="182"/>
      <c r="AH235" s="182"/>
      <c r="AI235" s="196">
        <f t="shared" si="837"/>
        <v>0</v>
      </c>
      <c r="AJ235" s="196"/>
      <c r="AK235" s="196"/>
      <c r="AL235" s="182"/>
      <c r="AM235" s="182"/>
      <c r="AN235" s="205"/>
      <c r="AO235" s="196">
        <f t="shared" si="838"/>
        <v>0</v>
      </c>
      <c r="AP235" s="182"/>
      <c r="AQ235" s="196">
        <f t="shared" si="839"/>
        <v>0</v>
      </c>
      <c r="AR235" s="182"/>
      <c r="AS235" s="196">
        <f t="shared" si="840"/>
        <v>0</v>
      </c>
      <c r="AT235" s="182"/>
      <c r="AU235" s="196">
        <f t="shared" si="844"/>
        <v>0</v>
      </c>
      <c r="AV235" s="186">
        <v>25</v>
      </c>
      <c r="AW235" s="196">
        <v>3901186.2199999979</v>
      </c>
      <c r="AX235" s="182"/>
      <c r="AY235" s="196">
        <f t="shared" si="845"/>
        <v>0</v>
      </c>
      <c r="AZ235" s="182"/>
      <c r="BA235" s="182"/>
      <c r="BB235" s="182">
        <v>0</v>
      </c>
      <c r="BC235" s="182"/>
      <c r="BD235" s="182"/>
      <c r="BE235" s="182"/>
      <c r="BF235" s="182"/>
      <c r="BG235" s="182"/>
      <c r="BH235" s="182"/>
      <c r="BI235" s="182"/>
      <c r="BJ235" s="182"/>
      <c r="BK235" s="182"/>
      <c r="BL235" s="182"/>
      <c r="BM235" s="182"/>
      <c r="BN235" s="182"/>
      <c r="BO235" s="182"/>
      <c r="BP235" s="182"/>
      <c r="BQ235" s="182"/>
      <c r="BR235" s="182"/>
      <c r="BS235" s="182"/>
      <c r="BT235" s="182"/>
      <c r="BU235" s="182"/>
      <c r="BV235" s="182"/>
      <c r="BW235" s="182"/>
      <c r="BX235" s="182"/>
      <c r="BY235" s="182"/>
      <c r="BZ235" s="182"/>
      <c r="CA235" s="187"/>
      <c r="CB235" s="182"/>
      <c r="CC235" s="182"/>
      <c r="CD235" s="182"/>
      <c r="CE235" s="182"/>
      <c r="CF235" s="182"/>
      <c r="CG235" s="182"/>
      <c r="CH235" s="182"/>
      <c r="CI235" s="182"/>
      <c r="CJ235" s="182"/>
      <c r="CK235" s="182"/>
      <c r="CL235" s="182"/>
      <c r="CM235" s="182"/>
      <c r="CN235" s="182"/>
      <c r="CO235" s="182"/>
      <c r="CP235" s="182"/>
      <c r="CQ235" s="182"/>
      <c r="CR235" s="182"/>
      <c r="CS235" s="182"/>
      <c r="CT235" s="182"/>
      <c r="CU235" s="182"/>
      <c r="CV235" s="182"/>
      <c r="CW235" s="182">
        <v>0</v>
      </c>
      <c r="CX235" s="182"/>
      <c r="CY235" s="182"/>
      <c r="CZ235" s="182"/>
      <c r="DA235" s="182">
        <v>0</v>
      </c>
      <c r="DB235" s="188"/>
      <c r="DC235" s="182"/>
      <c r="DD235" s="182"/>
      <c r="DE235" s="187"/>
      <c r="DF235" s="182"/>
      <c r="DG235" s="182"/>
      <c r="DH235" s="189"/>
      <c r="DI235" s="182"/>
      <c r="DJ235" s="182"/>
      <c r="DK235" s="196">
        <f t="shared" si="842"/>
        <v>0</v>
      </c>
      <c r="DL235" s="182"/>
      <c r="DM235" s="182"/>
      <c r="DN235" s="182"/>
      <c r="DO235" s="187"/>
      <c r="DP235" s="187"/>
      <c r="DQ235" s="187"/>
      <c r="DR235" s="183">
        <f t="shared" si="846"/>
        <v>95</v>
      </c>
      <c r="DS235" s="183">
        <f t="shared" si="846"/>
        <v>14539683.426565982</v>
      </c>
      <c r="DT235" s="182">
        <v>99</v>
      </c>
      <c r="DU235" s="182">
        <v>15144895.041718656</v>
      </c>
      <c r="DV235" s="167">
        <f t="shared" si="817"/>
        <v>-4</v>
      </c>
      <c r="DW235" s="167">
        <f t="shared" si="817"/>
        <v>-605211.6151526738</v>
      </c>
    </row>
    <row r="236" spans="1:127" ht="45" customHeight="1" x14ac:dyDescent="0.25">
      <c r="A236" s="154"/>
      <c r="B236" s="176">
        <v>202</v>
      </c>
      <c r="C236" s="313" t="s">
        <v>557</v>
      </c>
      <c r="D236" s="210" t="s">
        <v>558</v>
      </c>
      <c r="E236" s="158">
        <v>25969</v>
      </c>
      <c r="F236" s="257">
        <v>7.23</v>
      </c>
      <c r="G236" s="168">
        <v>1</v>
      </c>
      <c r="H236" s="169"/>
      <c r="I236" s="169"/>
      <c r="J236" s="169"/>
      <c r="K236" s="195">
        <v>3.7199999999999997E-2</v>
      </c>
      <c r="L236" s="180">
        <v>1.4</v>
      </c>
      <c r="M236" s="180">
        <v>1.68</v>
      </c>
      <c r="N236" s="180">
        <v>2.23</v>
      </c>
      <c r="O236" s="181">
        <v>2.57</v>
      </c>
      <c r="P236" s="182">
        <v>0</v>
      </c>
      <c r="Q236" s="196">
        <f t="shared" si="833"/>
        <v>0</v>
      </c>
      <c r="R236" s="196"/>
      <c r="S236" s="196">
        <f t="shared" si="834"/>
        <v>0</v>
      </c>
      <c r="T236" s="196"/>
      <c r="U236" s="196">
        <f t="shared" si="843"/>
        <v>0</v>
      </c>
      <c r="V236" s="182"/>
      <c r="W236" s="196">
        <f t="shared" si="835"/>
        <v>0</v>
      </c>
      <c r="X236" s="196">
        <v>2</v>
      </c>
      <c r="Y236" s="196">
        <v>388922.01525888004</v>
      </c>
      <c r="Z236" s="196">
        <v>1</v>
      </c>
      <c r="AA236" s="196">
        <v>197198.93882812804</v>
      </c>
      <c r="AB236" s="182">
        <f t="shared" si="801"/>
        <v>3</v>
      </c>
      <c r="AC236" s="182">
        <f t="shared" si="801"/>
        <v>586120.95408700802</v>
      </c>
      <c r="AD236" s="182"/>
      <c r="AE236" s="196">
        <f t="shared" si="836"/>
        <v>0</v>
      </c>
      <c r="AF236" s="182"/>
      <c r="AG236" s="182"/>
      <c r="AH236" s="182"/>
      <c r="AI236" s="196">
        <f t="shared" si="837"/>
        <v>0</v>
      </c>
      <c r="AJ236" s="196"/>
      <c r="AK236" s="196"/>
      <c r="AL236" s="182"/>
      <c r="AM236" s="182"/>
      <c r="AN236" s="205"/>
      <c r="AO236" s="196">
        <f t="shared" si="838"/>
        <v>0</v>
      </c>
      <c r="AP236" s="182"/>
      <c r="AQ236" s="196">
        <f t="shared" si="839"/>
        <v>0</v>
      </c>
      <c r="AR236" s="182"/>
      <c r="AS236" s="196">
        <f t="shared" si="840"/>
        <v>0</v>
      </c>
      <c r="AT236" s="182"/>
      <c r="AU236" s="196">
        <f t="shared" si="844"/>
        <v>0</v>
      </c>
      <c r="AV236" s="186">
        <v>22</v>
      </c>
      <c r="AW236" s="196">
        <v>4354737.1499999994</v>
      </c>
      <c r="AX236" s="182"/>
      <c r="AY236" s="196">
        <f t="shared" si="845"/>
        <v>0</v>
      </c>
      <c r="AZ236" s="182"/>
      <c r="BA236" s="182"/>
      <c r="BB236" s="182">
        <v>0</v>
      </c>
      <c r="BC236" s="182"/>
      <c r="BD236" s="182"/>
      <c r="BE236" s="182"/>
      <c r="BF236" s="182"/>
      <c r="BG236" s="182"/>
      <c r="BH236" s="182"/>
      <c r="BI236" s="182"/>
      <c r="BJ236" s="182"/>
      <c r="BK236" s="182"/>
      <c r="BL236" s="182"/>
      <c r="BM236" s="182"/>
      <c r="BN236" s="182"/>
      <c r="BO236" s="182"/>
      <c r="BP236" s="182"/>
      <c r="BQ236" s="182"/>
      <c r="BR236" s="182"/>
      <c r="BS236" s="182"/>
      <c r="BT236" s="182"/>
      <c r="BU236" s="182"/>
      <c r="BV236" s="182"/>
      <c r="BW236" s="182"/>
      <c r="BX236" s="182"/>
      <c r="BY236" s="182"/>
      <c r="BZ236" s="182"/>
      <c r="CA236" s="187"/>
      <c r="CB236" s="182"/>
      <c r="CC236" s="182"/>
      <c r="CD236" s="182"/>
      <c r="CE236" s="182"/>
      <c r="CF236" s="182"/>
      <c r="CG236" s="182"/>
      <c r="CH236" s="182"/>
      <c r="CI236" s="182"/>
      <c r="CJ236" s="182"/>
      <c r="CK236" s="182"/>
      <c r="CL236" s="182"/>
      <c r="CM236" s="182"/>
      <c r="CN236" s="182"/>
      <c r="CO236" s="182"/>
      <c r="CP236" s="182"/>
      <c r="CQ236" s="182"/>
      <c r="CR236" s="182"/>
      <c r="CS236" s="182"/>
      <c r="CT236" s="182"/>
      <c r="CU236" s="182"/>
      <c r="CV236" s="182"/>
      <c r="CW236" s="182">
        <v>0</v>
      </c>
      <c r="CX236" s="182"/>
      <c r="CY236" s="182"/>
      <c r="CZ236" s="182"/>
      <c r="DA236" s="182">
        <v>0</v>
      </c>
      <c r="DB236" s="188"/>
      <c r="DC236" s="182"/>
      <c r="DD236" s="182"/>
      <c r="DE236" s="187"/>
      <c r="DF236" s="182"/>
      <c r="DG236" s="182"/>
      <c r="DH236" s="189"/>
      <c r="DI236" s="182"/>
      <c r="DJ236" s="182"/>
      <c r="DK236" s="196">
        <f t="shared" si="842"/>
        <v>0</v>
      </c>
      <c r="DL236" s="182"/>
      <c r="DM236" s="182"/>
      <c r="DN236" s="182"/>
      <c r="DO236" s="187"/>
      <c r="DP236" s="187"/>
      <c r="DQ236" s="187"/>
      <c r="DR236" s="183">
        <f t="shared" si="846"/>
        <v>25</v>
      </c>
      <c r="DS236" s="183">
        <f t="shared" si="846"/>
        <v>4940858.1040870072</v>
      </c>
      <c r="DT236" s="182">
        <v>16</v>
      </c>
      <c r="DU236" s="182">
        <v>3149707.1588526722</v>
      </c>
      <c r="DV236" s="167">
        <f t="shared" si="817"/>
        <v>9</v>
      </c>
      <c r="DW236" s="167">
        <f t="shared" si="817"/>
        <v>1791150.945234335</v>
      </c>
    </row>
    <row r="237" spans="1:127" ht="45" customHeight="1" x14ac:dyDescent="0.25">
      <c r="A237" s="154"/>
      <c r="B237" s="176">
        <v>203</v>
      </c>
      <c r="C237" s="313" t="s">
        <v>559</v>
      </c>
      <c r="D237" s="210" t="s">
        <v>560</v>
      </c>
      <c r="E237" s="158">
        <v>25969</v>
      </c>
      <c r="F237" s="257">
        <v>8.84</v>
      </c>
      <c r="G237" s="168">
        <v>1</v>
      </c>
      <c r="H237" s="169"/>
      <c r="I237" s="169"/>
      <c r="J237" s="169"/>
      <c r="K237" s="195">
        <v>2.3400000000000001E-2</v>
      </c>
      <c r="L237" s="180">
        <v>1.4</v>
      </c>
      <c r="M237" s="180">
        <v>1.68</v>
      </c>
      <c r="N237" s="180">
        <v>2.23</v>
      </c>
      <c r="O237" s="181">
        <v>2.57</v>
      </c>
      <c r="P237" s="182">
        <v>0</v>
      </c>
      <c r="Q237" s="196">
        <f t="shared" si="833"/>
        <v>0</v>
      </c>
      <c r="R237" s="196"/>
      <c r="S237" s="196">
        <f t="shared" si="834"/>
        <v>0</v>
      </c>
      <c r="T237" s="196"/>
      <c r="U237" s="196">
        <f t="shared" si="843"/>
        <v>0</v>
      </c>
      <c r="V237" s="182"/>
      <c r="W237" s="196">
        <f t="shared" si="835"/>
        <v>0</v>
      </c>
      <c r="X237" s="196">
        <v>121</v>
      </c>
      <c r="Y237" s="196">
        <v>28401474.496778242</v>
      </c>
      <c r="Z237" s="196">
        <v>8</v>
      </c>
      <c r="AA237" s="196">
        <v>1894629.5389066241</v>
      </c>
      <c r="AB237" s="182">
        <f t="shared" si="801"/>
        <v>129</v>
      </c>
      <c r="AC237" s="182">
        <f t="shared" si="801"/>
        <v>30296104.035684865</v>
      </c>
      <c r="AD237" s="182"/>
      <c r="AE237" s="196">
        <f t="shared" si="836"/>
        <v>0</v>
      </c>
      <c r="AF237" s="182"/>
      <c r="AG237" s="182"/>
      <c r="AH237" s="182"/>
      <c r="AI237" s="196">
        <f t="shared" si="837"/>
        <v>0</v>
      </c>
      <c r="AJ237" s="196"/>
      <c r="AK237" s="196"/>
      <c r="AL237" s="182"/>
      <c r="AM237" s="182"/>
      <c r="AN237" s="205"/>
      <c r="AO237" s="196">
        <f t="shared" si="838"/>
        <v>0</v>
      </c>
      <c r="AP237" s="182"/>
      <c r="AQ237" s="196">
        <f t="shared" si="839"/>
        <v>0</v>
      </c>
      <c r="AR237" s="182"/>
      <c r="AS237" s="196">
        <f t="shared" si="840"/>
        <v>0</v>
      </c>
      <c r="AT237" s="182"/>
      <c r="AU237" s="196">
        <f t="shared" si="844"/>
        <v>0</v>
      </c>
      <c r="AV237" s="186">
        <v>115</v>
      </c>
      <c r="AW237" s="196">
        <v>27284380.760000046</v>
      </c>
      <c r="AX237" s="182"/>
      <c r="AY237" s="196">
        <f t="shared" si="845"/>
        <v>0</v>
      </c>
      <c r="AZ237" s="182"/>
      <c r="BA237" s="182"/>
      <c r="BB237" s="182">
        <v>0</v>
      </c>
      <c r="BC237" s="182"/>
      <c r="BD237" s="182"/>
      <c r="BE237" s="182"/>
      <c r="BF237" s="182"/>
      <c r="BG237" s="182"/>
      <c r="BH237" s="182"/>
      <c r="BI237" s="182"/>
      <c r="BJ237" s="182"/>
      <c r="BK237" s="182"/>
      <c r="BL237" s="182"/>
      <c r="BM237" s="182"/>
      <c r="BN237" s="182"/>
      <c r="BO237" s="182"/>
      <c r="BP237" s="182"/>
      <c r="BQ237" s="182"/>
      <c r="BR237" s="182"/>
      <c r="BS237" s="182"/>
      <c r="BT237" s="182"/>
      <c r="BU237" s="182"/>
      <c r="BV237" s="182"/>
      <c r="BW237" s="182"/>
      <c r="BX237" s="182"/>
      <c r="BY237" s="182"/>
      <c r="BZ237" s="182"/>
      <c r="CA237" s="187"/>
      <c r="CB237" s="182"/>
      <c r="CC237" s="182"/>
      <c r="CD237" s="182"/>
      <c r="CE237" s="182"/>
      <c r="CF237" s="182"/>
      <c r="CG237" s="182"/>
      <c r="CH237" s="182"/>
      <c r="CI237" s="182"/>
      <c r="CJ237" s="182"/>
      <c r="CK237" s="182"/>
      <c r="CL237" s="182"/>
      <c r="CM237" s="182"/>
      <c r="CN237" s="182"/>
      <c r="CO237" s="182"/>
      <c r="CP237" s="182"/>
      <c r="CQ237" s="182"/>
      <c r="CR237" s="182"/>
      <c r="CS237" s="182"/>
      <c r="CT237" s="182"/>
      <c r="CU237" s="182"/>
      <c r="CV237" s="182"/>
      <c r="CW237" s="182">
        <v>0</v>
      </c>
      <c r="CX237" s="182"/>
      <c r="CY237" s="182"/>
      <c r="CZ237" s="182"/>
      <c r="DA237" s="182">
        <v>0</v>
      </c>
      <c r="DB237" s="188"/>
      <c r="DC237" s="182"/>
      <c r="DD237" s="182"/>
      <c r="DE237" s="187"/>
      <c r="DF237" s="182"/>
      <c r="DG237" s="182"/>
      <c r="DH237" s="189"/>
      <c r="DI237" s="182"/>
      <c r="DJ237" s="182"/>
      <c r="DK237" s="196">
        <f t="shared" si="842"/>
        <v>0</v>
      </c>
      <c r="DL237" s="182"/>
      <c r="DM237" s="182"/>
      <c r="DN237" s="182"/>
      <c r="DO237" s="187"/>
      <c r="DP237" s="187"/>
      <c r="DQ237" s="187"/>
      <c r="DR237" s="183">
        <f t="shared" si="846"/>
        <v>244</v>
      </c>
      <c r="DS237" s="183">
        <f t="shared" si="846"/>
        <v>57580484.795684911</v>
      </c>
      <c r="DT237" s="182">
        <v>213</v>
      </c>
      <c r="DU237" s="182">
        <v>50189714.19420442</v>
      </c>
      <c r="DV237" s="167">
        <f t="shared" si="817"/>
        <v>31</v>
      </c>
      <c r="DW237" s="167">
        <f t="shared" si="817"/>
        <v>7390770.6014804915</v>
      </c>
    </row>
    <row r="238" spans="1:127" ht="45" customHeight="1" x14ac:dyDescent="0.25">
      <c r="A238" s="154"/>
      <c r="B238" s="176">
        <v>204</v>
      </c>
      <c r="C238" s="313" t="s">
        <v>561</v>
      </c>
      <c r="D238" s="312" t="s">
        <v>562</v>
      </c>
      <c r="E238" s="158">
        <v>25969</v>
      </c>
      <c r="F238" s="257">
        <v>10.57</v>
      </c>
      <c r="G238" s="168">
        <v>1</v>
      </c>
      <c r="H238" s="169"/>
      <c r="I238" s="169"/>
      <c r="J238" s="169"/>
      <c r="K238" s="195">
        <v>2.1100000000000001E-2</v>
      </c>
      <c r="L238" s="180">
        <v>1.4</v>
      </c>
      <c r="M238" s="180">
        <v>1.68</v>
      </c>
      <c r="N238" s="180">
        <v>2.23</v>
      </c>
      <c r="O238" s="181">
        <v>2.57</v>
      </c>
      <c r="P238" s="182">
        <v>0</v>
      </c>
      <c r="Q238" s="196">
        <f t="shared" si="833"/>
        <v>0</v>
      </c>
      <c r="R238" s="196"/>
      <c r="S238" s="196">
        <f t="shared" si="834"/>
        <v>0</v>
      </c>
      <c r="T238" s="196"/>
      <c r="U238" s="196">
        <f t="shared" si="843"/>
        <v>0</v>
      </c>
      <c r="V238" s="182"/>
      <c r="W238" s="196">
        <f t="shared" si="835"/>
        <v>0</v>
      </c>
      <c r="X238" s="196">
        <v>84</v>
      </c>
      <c r="Y238" s="196">
        <v>23524405.517464321</v>
      </c>
      <c r="Z238" s="196">
        <v>26</v>
      </c>
      <c r="AA238" s="196">
        <v>7340393.5175057771</v>
      </c>
      <c r="AB238" s="182">
        <f t="shared" si="801"/>
        <v>110</v>
      </c>
      <c r="AC238" s="182">
        <f t="shared" si="801"/>
        <v>30864799.034970097</v>
      </c>
      <c r="AD238" s="182"/>
      <c r="AE238" s="196">
        <f t="shared" si="836"/>
        <v>0</v>
      </c>
      <c r="AF238" s="182"/>
      <c r="AG238" s="182"/>
      <c r="AH238" s="182"/>
      <c r="AI238" s="196">
        <f t="shared" si="837"/>
        <v>0</v>
      </c>
      <c r="AJ238" s="196"/>
      <c r="AK238" s="196"/>
      <c r="AL238" s="182"/>
      <c r="AM238" s="182"/>
      <c r="AN238" s="205"/>
      <c r="AO238" s="196">
        <f t="shared" si="838"/>
        <v>0</v>
      </c>
      <c r="AP238" s="182"/>
      <c r="AQ238" s="196">
        <f t="shared" si="839"/>
        <v>0</v>
      </c>
      <c r="AR238" s="182"/>
      <c r="AS238" s="196">
        <f t="shared" si="840"/>
        <v>0</v>
      </c>
      <c r="AT238" s="182"/>
      <c r="AU238" s="196">
        <f t="shared" si="844"/>
        <v>0</v>
      </c>
      <c r="AV238" s="186">
        <v>343</v>
      </c>
      <c r="AW238" s="196">
        <v>97668427.109999418</v>
      </c>
      <c r="AX238" s="182"/>
      <c r="AY238" s="196">
        <f t="shared" si="845"/>
        <v>0</v>
      </c>
      <c r="AZ238" s="182"/>
      <c r="BA238" s="182"/>
      <c r="BB238" s="182"/>
      <c r="BC238" s="182"/>
      <c r="BD238" s="182"/>
      <c r="BE238" s="182"/>
      <c r="BF238" s="182"/>
      <c r="BG238" s="182"/>
      <c r="BH238" s="182"/>
      <c r="BI238" s="182"/>
      <c r="BJ238" s="182"/>
      <c r="BK238" s="182"/>
      <c r="BL238" s="182"/>
      <c r="BM238" s="182"/>
      <c r="BN238" s="182"/>
      <c r="BO238" s="182"/>
      <c r="BP238" s="182"/>
      <c r="BQ238" s="182"/>
      <c r="BR238" s="182"/>
      <c r="BS238" s="182"/>
      <c r="BT238" s="182"/>
      <c r="BU238" s="182"/>
      <c r="BV238" s="182"/>
      <c r="BW238" s="182"/>
      <c r="BX238" s="182"/>
      <c r="BY238" s="182"/>
      <c r="BZ238" s="182"/>
      <c r="CA238" s="187"/>
      <c r="CB238" s="182"/>
      <c r="CC238" s="182"/>
      <c r="CD238" s="182"/>
      <c r="CE238" s="182"/>
      <c r="CF238" s="182"/>
      <c r="CG238" s="182"/>
      <c r="CH238" s="182"/>
      <c r="CI238" s="182"/>
      <c r="CJ238" s="182"/>
      <c r="CK238" s="182"/>
      <c r="CL238" s="182"/>
      <c r="CM238" s="182"/>
      <c r="CN238" s="182"/>
      <c r="CO238" s="182"/>
      <c r="CP238" s="182"/>
      <c r="CQ238" s="182"/>
      <c r="CR238" s="182"/>
      <c r="CS238" s="182"/>
      <c r="CT238" s="182"/>
      <c r="CU238" s="182"/>
      <c r="CV238" s="182"/>
      <c r="CW238" s="182">
        <v>0</v>
      </c>
      <c r="CX238" s="182"/>
      <c r="CY238" s="182"/>
      <c r="CZ238" s="182"/>
      <c r="DA238" s="182">
        <v>0</v>
      </c>
      <c r="DB238" s="188"/>
      <c r="DC238" s="182"/>
      <c r="DD238" s="182"/>
      <c r="DE238" s="187"/>
      <c r="DF238" s="182"/>
      <c r="DG238" s="182"/>
      <c r="DH238" s="189"/>
      <c r="DI238" s="182"/>
      <c r="DJ238" s="182"/>
      <c r="DK238" s="196">
        <f t="shared" si="842"/>
        <v>0</v>
      </c>
      <c r="DL238" s="182"/>
      <c r="DM238" s="182"/>
      <c r="DN238" s="182"/>
      <c r="DO238" s="187"/>
      <c r="DP238" s="187"/>
      <c r="DQ238" s="187"/>
      <c r="DR238" s="183">
        <f t="shared" si="846"/>
        <v>453</v>
      </c>
      <c r="DS238" s="183">
        <f t="shared" si="846"/>
        <v>128533226.14496952</v>
      </c>
      <c r="DT238" s="182">
        <v>400</v>
      </c>
      <c r="DU238" s="182">
        <v>112738419.03791915</v>
      </c>
      <c r="DV238" s="167">
        <f t="shared" si="817"/>
        <v>53</v>
      </c>
      <c r="DW238" s="167">
        <f t="shared" si="817"/>
        <v>15794807.107050374</v>
      </c>
    </row>
    <row r="239" spans="1:127" ht="45" customHeight="1" x14ac:dyDescent="0.25">
      <c r="A239" s="154"/>
      <c r="B239" s="176">
        <v>205</v>
      </c>
      <c r="C239" s="313" t="s">
        <v>563</v>
      </c>
      <c r="D239" s="312" t="s">
        <v>564</v>
      </c>
      <c r="E239" s="158">
        <v>25969</v>
      </c>
      <c r="F239" s="257">
        <v>13.73</v>
      </c>
      <c r="G239" s="168">
        <v>1</v>
      </c>
      <c r="H239" s="169"/>
      <c r="I239" s="169"/>
      <c r="J239" s="169"/>
      <c r="K239" s="195">
        <v>1.5900000000000001E-2</v>
      </c>
      <c r="L239" s="180">
        <v>1.4</v>
      </c>
      <c r="M239" s="180">
        <v>1.68</v>
      </c>
      <c r="N239" s="180">
        <v>2.23</v>
      </c>
      <c r="O239" s="181">
        <v>2.57</v>
      </c>
      <c r="P239" s="182">
        <v>0</v>
      </c>
      <c r="Q239" s="196">
        <f t="shared" si="833"/>
        <v>0</v>
      </c>
      <c r="R239" s="196"/>
      <c r="S239" s="196">
        <f t="shared" si="834"/>
        <v>0</v>
      </c>
      <c r="T239" s="196"/>
      <c r="U239" s="196">
        <f t="shared" si="843"/>
        <v>0</v>
      </c>
      <c r="V239" s="182"/>
      <c r="W239" s="196">
        <f t="shared" si="835"/>
        <v>0</v>
      </c>
      <c r="X239" s="196">
        <v>170</v>
      </c>
      <c r="Y239" s="196">
        <v>61539458.703625597</v>
      </c>
      <c r="Z239" s="196">
        <v>10</v>
      </c>
      <c r="AA239" s="196">
        <v>3642191.4798101601</v>
      </c>
      <c r="AB239" s="182">
        <f t="shared" si="801"/>
        <v>180</v>
      </c>
      <c r="AC239" s="182">
        <f t="shared" si="801"/>
        <v>65181650.18343576</v>
      </c>
      <c r="AD239" s="182"/>
      <c r="AE239" s="196">
        <f t="shared" si="836"/>
        <v>0</v>
      </c>
      <c r="AF239" s="182"/>
      <c r="AG239" s="182"/>
      <c r="AH239" s="182"/>
      <c r="AI239" s="196">
        <f t="shared" si="837"/>
        <v>0</v>
      </c>
      <c r="AJ239" s="196"/>
      <c r="AK239" s="196"/>
      <c r="AL239" s="182"/>
      <c r="AM239" s="182"/>
      <c r="AN239" s="205"/>
      <c r="AO239" s="196">
        <f t="shared" si="838"/>
        <v>0</v>
      </c>
      <c r="AP239" s="182"/>
      <c r="AQ239" s="196">
        <f t="shared" si="839"/>
        <v>0</v>
      </c>
      <c r="AR239" s="182"/>
      <c r="AS239" s="196">
        <f t="shared" si="840"/>
        <v>0</v>
      </c>
      <c r="AT239" s="182"/>
      <c r="AU239" s="196">
        <f t="shared" si="844"/>
        <v>0</v>
      </c>
      <c r="AV239" s="186">
        <v>101</v>
      </c>
      <c r="AW239" s="196">
        <v>36711439.829999931</v>
      </c>
      <c r="AX239" s="182"/>
      <c r="AY239" s="196">
        <f t="shared" si="845"/>
        <v>0</v>
      </c>
      <c r="AZ239" s="182"/>
      <c r="BA239" s="182"/>
      <c r="BB239" s="182"/>
      <c r="BC239" s="182"/>
      <c r="BD239" s="182"/>
      <c r="BE239" s="182"/>
      <c r="BF239" s="182"/>
      <c r="BG239" s="182"/>
      <c r="BH239" s="182"/>
      <c r="BI239" s="182"/>
      <c r="BJ239" s="182"/>
      <c r="BK239" s="182"/>
      <c r="BL239" s="182"/>
      <c r="BM239" s="182"/>
      <c r="BN239" s="182"/>
      <c r="BO239" s="182"/>
      <c r="BP239" s="182"/>
      <c r="BQ239" s="182"/>
      <c r="BR239" s="182"/>
      <c r="BS239" s="182"/>
      <c r="BT239" s="182"/>
      <c r="BU239" s="182"/>
      <c r="BV239" s="182"/>
      <c r="BW239" s="182"/>
      <c r="BX239" s="182"/>
      <c r="BY239" s="182"/>
      <c r="BZ239" s="182"/>
      <c r="CA239" s="187"/>
      <c r="CB239" s="182"/>
      <c r="CC239" s="182"/>
      <c r="CD239" s="182"/>
      <c r="CE239" s="182"/>
      <c r="CF239" s="182"/>
      <c r="CG239" s="182"/>
      <c r="CH239" s="182"/>
      <c r="CI239" s="182"/>
      <c r="CJ239" s="182"/>
      <c r="CK239" s="182"/>
      <c r="CL239" s="182"/>
      <c r="CM239" s="182"/>
      <c r="CN239" s="182"/>
      <c r="CO239" s="182"/>
      <c r="CP239" s="182"/>
      <c r="CQ239" s="182"/>
      <c r="CR239" s="182"/>
      <c r="CS239" s="182"/>
      <c r="CT239" s="182"/>
      <c r="CU239" s="182"/>
      <c r="CV239" s="182"/>
      <c r="CW239" s="182">
        <v>0</v>
      </c>
      <c r="CX239" s="182"/>
      <c r="CY239" s="182"/>
      <c r="CZ239" s="182"/>
      <c r="DA239" s="182">
        <v>0</v>
      </c>
      <c r="DB239" s="188"/>
      <c r="DC239" s="182"/>
      <c r="DD239" s="182"/>
      <c r="DE239" s="187"/>
      <c r="DF239" s="182"/>
      <c r="DG239" s="182"/>
      <c r="DH239" s="189"/>
      <c r="DI239" s="182"/>
      <c r="DJ239" s="182"/>
      <c r="DK239" s="196">
        <f t="shared" si="842"/>
        <v>0</v>
      </c>
      <c r="DL239" s="182"/>
      <c r="DM239" s="182"/>
      <c r="DN239" s="182"/>
      <c r="DO239" s="187"/>
      <c r="DP239" s="187"/>
      <c r="DQ239" s="187"/>
      <c r="DR239" s="183">
        <f t="shared" si="846"/>
        <v>281</v>
      </c>
      <c r="DS239" s="183">
        <f t="shared" si="846"/>
        <v>101893090.01343569</v>
      </c>
      <c r="DT239" s="182">
        <v>290</v>
      </c>
      <c r="DU239" s="182">
        <v>105245756.46134752</v>
      </c>
      <c r="DV239" s="167">
        <f t="shared" si="817"/>
        <v>-9</v>
      </c>
      <c r="DW239" s="167">
        <f t="shared" si="817"/>
        <v>-3352666.4479118288</v>
      </c>
    </row>
    <row r="240" spans="1:127" ht="45" customHeight="1" x14ac:dyDescent="0.25">
      <c r="A240" s="154"/>
      <c r="B240" s="176">
        <v>206</v>
      </c>
      <c r="C240" s="319" t="s">
        <v>565</v>
      </c>
      <c r="D240" s="259" t="s">
        <v>566</v>
      </c>
      <c r="E240" s="158">
        <v>25969</v>
      </c>
      <c r="F240" s="257">
        <v>16.29</v>
      </c>
      <c r="G240" s="168">
        <v>1</v>
      </c>
      <c r="H240" s="169"/>
      <c r="I240" s="169"/>
      <c r="J240" s="169"/>
      <c r="K240" s="195">
        <v>1.2500000000000001E-2</v>
      </c>
      <c r="L240" s="180">
        <v>1.4</v>
      </c>
      <c r="M240" s="180">
        <v>1.68</v>
      </c>
      <c r="N240" s="180">
        <v>2.23</v>
      </c>
      <c r="O240" s="181">
        <v>2.57</v>
      </c>
      <c r="P240" s="182">
        <v>0</v>
      </c>
      <c r="Q240" s="196">
        <f t="shared" si="833"/>
        <v>0</v>
      </c>
      <c r="R240" s="196"/>
      <c r="S240" s="196">
        <f t="shared" si="834"/>
        <v>0</v>
      </c>
      <c r="T240" s="196"/>
      <c r="U240" s="196">
        <f t="shared" si="843"/>
        <v>0</v>
      </c>
      <c r="V240" s="182"/>
      <c r="W240" s="196">
        <f t="shared" si="835"/>
        <v>0</v>
      </c>
      <c r="X240" s="196">
        <v>210</v>
      </c>
      <c r="Y240" s="196">
        <v>89903400.325199991</v>
      </c>
      <c r="Z240" s="196">
        <v>11</v>
      </c>
      <c r="AA240" s="196">
        <v>4732027.3183589997</v>
      </c>
      <c r="AB240" s="182">
        <f t="shared" si="801"/>
        <v>221</v>
      </c>
      <c r="AC240" s="182">
        <f t="shared" si="801"/>
        <v>94635427.643558994</v>
      </c>
      <c r="AD240" s="182"/>
      <c r="AE240" s="196">
        <f t="shared" si="836"/>
        <v>0</v>
      </c>
      <c r="AF240" s="182"/>
      <c r="AG240" s="182"/>
      <c r="AH240" s="182"/>
      <c r="AI240" s="196">
        <f t="shared" si="837"/>
        <v>0</v>
      </c>
      <c r="AJ240" s="196"/>
      <c r="AK240" s="196"/>
      <c r="AL240" s="182"/>
      <c r="AM240" s="182"/>
      <c r="AN240" s="205"/>
      <c r="AO240" s="196">
        <f t="shared" si="838"/>
        <v>0</v>
      </c>
      <c r="AP240" s="182"/>
      <c r="AQ240" s="196">
        <f t="shared" si="839"/>
        <v>0</v>
      </c>
      <c r="AR240" s="182"/>
      <c r="AS240" s="196">
        <f t="shared" si="840"/>
        <v>0</v>
      </c>
      <c r="AT240" s="182"/>
      <c r="AU240" s="196">
        <f t="shared" si="844"/>
        <v>0</v>
      </c>
      <c r="AV240" s="186">
        <v>145</v>
      </c>
      <c r="AW240" s="196">
        <v>62376723.499999844</v>
      </c>
      <c r="AX240" s="182"/>
      <c r="AY240" s="196">
        <f t="shared" si="845"/>
        <v>0</v>
      </c>
      <c r="AZ240" s="182"/>
      <c r="BA240" s="182"/>
      <c r="BB240" s="182"/>
      <c r="BC240" s="182"/>
      <c r="BD240" s="182"/>
      <c r="BE240" s="182"/>
      <c r="BF240" s="182"/>
      <c r="BG240" s="182"/>
      <c r="BH240" s="182"/>
      <c r="BI240" s="182"/>
      <c r="BJ240" s="182"/>
      <c r="BK240" s="182"/>
      <c r="BL240" s="182"/>
      <c r="BM240" s="182"/>
      <c r="BN240" s="182"/>
      <c r="BO240" s="182"/>
      <c r="BP240" s="182"/>
      <c r="BQ240" s="182"/>
      <c r="BR240" s="182"/>
      <c r="BS240" s="182"/>
      <c r="BT240" s="182"/>
      <c r="BU240" s="182"/>
      <c r="BV240" s="182"/>
      <c r="BW240" s="182"/>
      <c r="BX240" s="182"/>
      <c r="BY240" s="182"/>
      <c r="BZ240" s="182"/>
      <c r="CA240" s="187"/>
      <c r="CB240" s="182"/>
      <c r="CC240" s="182"/>
      <c r="CD240" s="182"/>
      <c r="CE240" s="182"/>
      <c r="CF240" s="182"/>
      <c r="CG240" s="182"/>
      <c r="CH240" s="182"/>
      <c r="CI240" s="182"/>
      <c r="CJ240" s="182"/>
      <c r="CK240" s="182"/>
      <c r="CL240" s="182"/>
      <c r="CM240" s="182"/>
      <c r="CN240" s="182"/>
      <c r="CO240" s="182"/>
      <c r="CP240" s="182"/>
      <c r="CQ240" s="182"/>
      <c r="CR240" s="182"/>
      <c r="CS240" s="182"/>
      <c r="CT240" s="182"/>
      <c r="CU240" s="182"/>
      <c r="CV240" s="182"/>
      <c r="CW240" s="182">
        <v>0</v>
      </c>
      <c r="CX240" s="182"/>
      <c r="CY240" s="182"/>
      <c r="CZ240" s="182"/>
      <c r="DA240" s="182">
        <v>0</v>
      </c>
      <c r="DB240" s="188"/>
      <c r="DC240" s="182"/>
      <c r="DD240" s="182"/>
      <c r="DE240" s="187"/>
      <c r="DF240" s="182"/>
      <c r="DG240" s="182"/>
      <c r="DH240" s="189"/>
      <c r="DI240" s="182"/>
      <c r="DJ240" s="182"/>
      <c r="DK240" s="196">
        <f t="shared" si="842"/>
        <v>0</v>
      </c>
      <c r="DL240" s="182"/>
      <c r="DM240" s="182"/>
      <c r="DN240" s="182"/>
      <c r="DO240" s="187"/>
      <c r="DP240" s="187"/>
      <c r="DQ240" s="187"/>
      <c r="DR240" s="183">
        <f t="shared" si="846"/>
        <v>366</v>
      </c>
      <c r="DS240" s="183">
        <f t="shared" si="846"/>
        <v>157012151.14355883</v>
      </c>
      <c r="DT240" s="182">
        <v>336</v>
      </c>
      <c r="DU240" s="182">
        <v>144106622.33549398</v>
      </c>
      <c r="DV240" s="167">
        <f t="shared" si="817"/>
        <v>30</v>
      </c>
      <c r="DW240" s="167">
        <f t="shared" si="817"/>
        <v>12905528.808064848</v>
      </c>
    </row>
    <row r="241" spans="1:127" ht="45" customHeight="1" x14ac:dyDescent="0.25">
      <c r="A241" s="154"/>
      <c r="B241" s="176">
        <v>207</v>
      </c>
      <c r="C241" s="319" t="s">
        <v>567</v>
      </c>
      <c r="D241" s="259" t="s">
        <v>568</v>
      </c>
      <c r="E241" s="158">
        <v>25969</v>
      </c>
      <c r="F241" s="257">
        <v>19.96</v>
      </c>
      <c r="G241" s="168">
        <v>1</v>
      </c>
      <c r="H241" s="169"/>
      <c r="I241" s="169"/>
      <c r="J241" s="169"/>
      <c r="K241" s="195">
        <v>9.9000000000000008E-3</v>
      </c>
      <c r="L241" s="180">
        <v>1.4</v>
      </c>
      <c r="M241" s="180">
        <v>1.68</v>
      </c>
      <c r="N241" s="180">
        <v>2.23</v>
      </c>
      <c r="O241" s="181">
        <v>2.57</v>
      </c>
      <c r="P241" s="182">
        <v>0</v>
      </c>
      <c r="Q241" s="196">
        <f t="shared" si="833"/>
        <v>0</v>
      </c>
      <c r="R241" s="196"/>
      <c r="S241" s="196">
        <f t="shared" si="834"/>
        <v>0</v>
      </c>
      <c r="T241" s="196"/>
      <c r="U241" s="196">
        <f t="shared" si="843"/>
        <v>0</v>
      </c>
      <c r="V241" s="182"/>
      <c r="W241" s="196">
        <f t="shared" si="835"/>
        <v>0</v>
      </c>
      <c r="X241" s="196"/>
      <c r="Y241" s="196">
        <v>0</v>
      </c>
      <c r="Z241" s="196">
        <v>0</v>
      </c>
      <c r="AA241" s="196">
        <v>0</v>
      </c>
      <c r="AB241" s="182">
        <f t="shared" si="801"/>
        <v>0</v>
      </c>
      <c r="AC241" s="182">
        <f t="shared" si="801"/>
        <v>0</v>
      </c>
      <c r="AD241" s="182"/>
      <c r="AE241" s="196">
        <f t="shared" si="836"/>
        <v>0</v>
      </c>
      <c r="AF241" s="182"/>
      <c r="AG241" s="182"/>
      <c r="AH241" s="182"/>
      <c r="AI241" s="196">
        <f t="shared" si="837"/>
        <v>0</v>
      </c>
      <c r="AJ241" s="196"/>
      <c r="AK241" s="196"/>
      <c r="AL241" s="182"/>
      <c r="AM241" s="182"/>
      <c r="AN241" s="205"/>
      <c r="AO241" s="196">
        <f t="shared" si="838"/>
        <v>0</v>
      </c>
      <c r="AP241" s="182"/>
      <c r="AQ241" s="196">
        <f t="shared" si="839"/>
        <v>0</v>
      </c>
      <c r="AR241" s="182"/>
      <c r="AS241" s="196">
        <f t="shared" si="840"/>
        <v>0</v>
      </c>
      <c r="AT241" s="182"/>
      <c r="AU241" s="196">
        <f t="shared" si="844"/>
        <v>0</v>
      </c>
      <c r="AV241" s="186">
        <v>0</v>
      </c>
      <c r="AW241" s="196">
        <v>0</v>
      </c>
      <c r="AX241" s="182"/>
      <c r="AY241" s="196">
        <f t="shared" si="845"/>
        <v>0</v>
      </c>
      <c r="AZ241" s="182"/>
      <c r="BA241" s="182"/>
      <c r="BB241" s="182"/>
      <c r="BC241" s="182"/>
      <c r="BD241" s="182"/>
      <c r="BE241" s="182"/>
      <c r="BF241" s="182"/>
      <c r="BG241" s="182"/>
      <c r="BH241" s="182"/>
      <c r="BI241" s="182"/>
      <c r="BJ241" s="182"/>
      <c r="BK241" s="182"/>
      <c r="BL241" s="182"/>
      <c r="BM241" s="182"/>
      <c r="BN241" s="182"/>
      <c r="BO241" s="182"/>
      <c r="BP241" s="182"/>
      <c r="BQ241" s="182"/>
      <c r="BR241" s="182"/>
      <c r="BS241" s="182"/>
      <c r="BT241" s="182"/>
      <c r="BU241" s="182"/>
      <c r="BV241" s="182"/>
      <c r="BW241" s="182"/>
      <c r="BX241" s="182"/>
      <c r="BY241" s="182"/>
      <c r="BZ241" s="182"/>
      <c r="CA241" s="187"/>
      <c r="CB241" s="182"/>
      <c r="CC241" s="182"/>
      <c r="CD241" s="182"/>
      <c r="CE241" s="182"/>
      <c r="CF241" s="182"/>
      <c r="CG241" s="182"/>
      <c r="CH241" s="182"/>
      <c r="CI241" s="182"/>
      <c r="CJ241" s="182"/>
      <c r="CK241" s="182"/>
      <c r="CL241" s="182"/>
      <c r="CM241" s="182"/>
      <c r="CN241" s="182"/>
      <c r="CO241" s="182"/>
      <c r="CP241" s="182"/>
      <c r="CQ241" s="182"/>
      <c r="CR241" s="182"/>
      <c r="CS241" s="182"/>
      <c r="CT241" s="182"/>
      <c r="CU241" s="182"/>
      <c r="CV241" s="182"/>
      <c r="CW241" s="182">
        <v>0</v>
      </c>
      <c r="CX241" s="182"/>
      <c r="CY241" s="182"/>
      <c r="CZ241" s="182"/>
      <c r="DA241" s="182">
        <v>0</v>
      </c>
      <c r="DB241" s="188"/>
      <c r="DC241" s="182"/>
      <c r="DD241" s="182"/>
      <c r="DE241" s="187"/>
      <c r="DF241" s="182"/>
      <c r="DG241" s="182"/>
      <c r="DH241" s="189"/>
      <c r="DI241" s="182"/>
      <c r="DJ241" s="182"/>
      <c r="DK241" s="196">
        <f t="shared" si="842"/>
        <v>0</v>
      </c>
      <c r="DL241" s="182"/>
      <c r="DM241" s="182"/>
      <c r="DN241" s="182"/>
      <c r="DO241" s="187"/>
      <c r="DP241" s="187"/>
      <c r="DQ241" s="187"/>
      <c r="DR241" s="183">
        <f t="shared" si="846"/>
        <v>0</v>
      </c>
      <c r="DS241" s="183">
        <f t="shared" si="846"/>
        <v>0</v>
      </c>
      <c r="DT241" s="182">
        <v>0</v>
      </c>
      <c r="DU241" s="182">
        <v>0</v>
      </c>
      <c r="DV241" s="167">
        <f t="shared" si="817"/>
        <v>0</v>
      </c>
      <c r="DW241" s="167">
        <f t="shared" si="817"/>
        <v>0</v>
      </c>
    </row>
    <row r="242" spans="1:127" ht="45" customHeight="1" x14ac:dyDescent="0.25">
      <c r="A242" s="154"/>
      <c r="B242" s="176">
        <v>208</v>
      </c>
      <c r="C242" s="319" t="s">
        <v>569</v>
      </c>
      <c r="D242" s="314" t="s">
        <v>570</v>
      </c>
      <c r="E242" s="158">
        <v>25969</v>
      </c>
      <c r="F242" s="257">
        <v>26.46</v>
      </c>
      <c r="G242" s="168">
        <v>1</v>
      </c>
      <c r="H242" s="169"/>
      <c r="I242" s="169"/>
      <c r="J242" s="169"/>
      <c r="K242" s="195">
        <v>7.4999999999999997E-3</v>
      </c>
      <c r="L242" s="180">
        <v>1.4</v>
      </c>
      <c r="M242" s="180">
        <v>1.68</v>
      </c>
      <c r="N242" s="180">
        <v>2.23</v>
      </c>
      <c r="O242" s="181">
        <v>2.57</v>
      </c>
      <c r="P242" s="182"/>
      <c r="Q242" s="196">
        <f t="shared" si="833"/>
        <v>0</v>
      </c>
      <c r="R242" s="196"/>
      <c r="S242" s="196">
        <f t="shared" si="834"/>
        <v>0</v>
      </c>
      <c r="T242" s="196"/>
      <c r="U242" s="196">
        <f t="shared" si="843"/>
        <v>0</v>
      </c>
      <c r="V242" s="182"/>
      <c r="W242" s="196">
        <f t="shared" si="835"/>
        <v>0</v>
      </c>
      <c r="X242" s="196">
        <v>68</v>
      </c>
      <c r="Y242" s="196">
        <v>47061925.936704002</v>
      </c>
      <c r="Z242" s="196">
        <v>3</v>
      </c>
      <c r="AA242" s="196">
        <v>2082322.0108908</v>
      </c>
      <c r="AB242" s="182">
        <f t="shared" si="801"/>
        <v>71</v>
      </c>
      <c r="AC242" s="182">
        <f t="shared" si="801"/>
        <v>49144247.947594799</v>
      </c>
      <c r="AD242" s="182"/>
      <c r="AE242" s="196">
        <f t="shared" si="836"/>
        <v>0</v>
      </c>
      <c r="AF242" s="182"/>
      <c r="AG242" s="182"/>
      <c r="AH242" s="182"/>
      <c r="AI242" s="196">
        <f t="shared" si="837"/>
        <v>0</v>
      </c>
      <c r="AJ242" s="196"/>
      <c r="AK242" s="196"/>
      <c r="AL242" s="182"/>
      <c r="AM242" s="182"/>
      <c r="AN242" s="205"/>
      <c r="AO242" s="196">
        <f t="shared" si="838"/>
        <v>0</v>
      </c>
      <c r="AP242" s="182"/>
      <c r="AQ242" s="196">
        <f t="shared" si="839"/>
        <v>0</v>
      </c>
      <c r="AR242" s="182"/>
      <c r="AS242" s="196">
        <f t="shared" si="840"/>
        <v>0</v>
      </c>
      <c r="AT242" s="182"/>
      <c r="AU242" s="196">
        <f t="shared" si="844"/>
        <v>0</v>
      </c>
      <c r="AV242" s="186">
        <v>48</v>
      </c>
      <c r="AW242" s="196">
        <v>33317152.319999997</v>
      </c>
      <c r="AX242" s="182"/>
      <c r="AY242" s="196">
        <f t="shared" si="845"/>
        <v>0</v>
      </c>
      <c r="AZ242" s="182"/>
      <c r="BA242" s="182"/>
      <c r="BB242" s="182"/>
      <c r="BC242" s="182"/>
      <c r="BD242" s="182"/>
      <c r="BE242" s="182"/>
      <c r="BF242" s="182"/>
      <c r="BG242" s="182"/>
      <c r="BH242" s="182"/>
      <c r="BI242" s="182"/>
      <c r="BJ242" s="182"/>
      <c r="BK242" s="182"/>
      <c r="BL242" s="182"/>
      <c r="BM242" s="182"/>
      <c r="BN242" s="182"/>
      <c r="BO242" s="182"/>
      <c r="BP242" s="182"/>
      <c r="BQ242" s="182"/>
      <c r="BR242" s="182"/>
      <c r="BS242" s="182"/>
      <c r="BT242" s="182"/>
      <c r="BU242" s="182"/>
      <c r="BV242" s="182"/>
      <c r="BW242" s="182"/>
      <c r="BX242" s="182"/>
      <c r="BY242" s="182"/>
      <c r="BZ242" s="182"/>
      <c r="CA242" s="187"/>
      <c r="CB242" s="182"/>
      <c r="CC242" s="182"/>
      <c r="CD242" s="182"/>
      <c r="CE242" s="182"/>
      <c r="CF242" s="182"/>
      <c r="CG242" s="182"/>
      <c r="CH242" s="182"/>
      <c r="CI242" s="182"/>
      <c r="CJ242" s="182"/>
      <c r="CK242" s="182"/>
      <c r="CL242" s="182"/>
      <c r="CM242" s="182"/>
      <c r="CN242" s="182"/>
      <c r="CO242" s="182"/>
      <c r="CP242" s="182"/>
      <c r="CQ242" s="182"/>
      <c r="CR242" s="182"/>
      <c r="CS242" s="182"/>
      <c r="CT242" s="182"/>
      <c r="CU242" s="182"/>
      <c r="CV242" s="182"/>
      <c r="CW242" s="182">
        <v>0</v>
      </c>
      <c r="CX242" s="182"/>
      <c r="CY242" s="182"/>
      <c r="CZ242" s="182"/>
      <c r="DA242" s="182">
        <v>0</v>
      </c>
      <c r="DB242" s="188"/>
      <c r="DC242" s="182"/>
      <c r="DD242" s="182"/>
      <c r="DE242" s="187"/>
      <c r="DF242" s="182"/>
      <c r="DG242" s="182"/>
      <c r="DH242" s="189"/>
      <c r="DI242" s="182"/>
      <c r="DJ242" s="182"/>
      <c r="DK242" s="196">
        <f t="shared" si="842"/>
        <v>0</v>
      </c>
      <c r="DL242" s="182"/>
      <c r="DM242" s="182"/>
      <c r="DN242" s="182"/>
      <c r="DO242" s="187"/>
      <c r="DP242" s="187"/>
      <c r="DQ242" s="187"/>
      <c r="DR242" s="183">
        <f t="shared" si="846"/>
        <v>119</v>
      </c>
      <c r="DS242" s="183">
        <f t="shared" si="846"/>
        <v>82461400.267594799</v>
      </c>
      <c r="DT242" s="182">
        <v>102</v>
      </c>
      <c r="DU242" s="182">
        <v>70661575.393466398</v>
      </c>
      <c r="DV242" s="167">
        <f t="shared" si="817"/>
        <v>17</v>
      </c>
      <c r="DW242" s="167">
        <f t="shared" si="817"/>
        <v>11799824.874128401</v>
      </c>
    </row>
    <row r="243" spans="1:127" ht="45" customHeight="1" x14ac:dyDescent="0.25">
      <c r="A243" s="154"/>
      <c r="B243" s="176">
        <v>209</v>
      </c>
      <c r="C243" s="319" t="s">
        <v>571</v>
      </c>
      <c r="D243" s="314" t="s">
        <v>572</v>
      </c>
      <c r="E243" s="158">
        <v>25969</v>
      </c>
      <c r="F243" s="257">
        <v>35.35</v>
      </c>
      <c r="G243" s="168">
        <v>1</v>
      </c>
      <c r="H243" s="169"/>
      <c r="I243" s="169"/>
      <c r="J243" s="169"/>
      <c r="K243" s="195">
        <v>5.5999999999999999E-3</v>
      </c>
      <c r="L243" s="180">
        <v>1.4</v>
      </c>
      <c r="M243" s="180">
        <v>1.68</v>
      </c>
      <c r="N243" s="180">
        <v>2.23</v>
      </c>
      <c r="O243" s="181">
        <v>2.57</v>
      </c>
      <c r="P243" s="182"/>
      <c r="Q243" s="196">
        <f t="shared" si="833"/>
        <v>0</v>
      </c>
      <c r="R243" s="196"/>
      <c r="S243" s="196">
        <f t="shared" si="834"/>
        <v>0</v>
      </c>
      <c r="T243" s="196"/>
      <c r="U243" s="196">
        <f t="shared" si="843"/>
        <v>0</v>
      </c>
      <c r="V243" s="182"/>
      <c r="W243" s="196">
        <f t="shared" si="835"/>
        <v>0</v>
      </c>
      <c r="X243" s="196"/>
      <c r="Y243" s="196">
        <v>0</v>
      </c>
      <c r="Z243" s="196">
        <v>0</v>
      </c>
      <c r="AA243" s="196">
        <v>0</v>
      </c>
      <c r="AB243" s="182">
        <f t="shared" si="801"/>
        <v>0</v>
      </c>
      <c r="AC243" s="182">
        <f t="shared" si="801"/>
        <v>0</v>
      </c>
      <c r="AD243" s="182"/>
      <c r="AE243" s="196">
        <f t="shared" si="836"/>
        <v>0</v>
      </c>
      <c r="AF243" s="182"/>
      <c r="AG243" s="182"/>
      <c r="AH243" s="182"/>
      <c r="AI243" s="196">
        <f t="shared" si="837"/>
        <v>0</v>
      </c>
      <c r="AJ243" s="196"/>
      <c r="AK243" s="196"/>
      <c r="AL243" s="182"/>
      <c r="AM243" s="182"/>
      <c r="AN243" s="205"/>
      <c r="AO243" s="196">
        <f t="shared" si="838"/>
        <v>0</v>
      </c>
      <c r="AP243" s="182"/>
      <c r="AQ243" s="196">
        <f t="shared" si="839"/>
        <v>0</v>
      </c>
      <c r="AR243" s="182"/>
      <c r="AS243" s="196">
        <f t="shared" si="840"/>
        <v>0</v>
      </c>
      <c r="AT243" s="182"/>
      <c r="AU243" s="196">
        <f t="shared" si="844"/>
        <v>0</v>
      </c>
      <c r="AV243" s="186">
        <v>3</v>
      </c>
      <c r="AW243" s="196">
        <v>2774863.62</v>
      </c>
      <c r="AX243" s="182"/>
      <c r="AY243" s="196">
        <f t="shared" si="845"/>
        <v>0</v>
      </c>
      <c r="AZ243" s="182"/>
      <c r="BA243" s="182"/>
      <c r="BB243" s="182"/>
      <c r="BC243" s="182"/>
      <c r="BD243" s="182"/>
      <c r="BE243" s="182"/>
      <c r="BF243" s="182"/>
      <c r="BG243" s="182"/>
      <c r="BH243" s="182"/>
      <c r="BI243" s="182"/>
      <c r="BJ243" s="182"/>
      <c r="BK243" s="182"/>
      <c r="BL243" s="182"/>
      <c r="BM243" s="182"/>
      <c r="BN243" s="182"/>
      <c r="BO243" s="182"/>
      <c r="BP243" s="182"/>
      <c r="BQ243" s="182"/>
      <c r="BR243" s="182"/>
      <c r="BS243" s="182"/>
      <c r="BT243" s="182"/>
      <c r="BU243" s="182"/>
      <c r="BV243" s="182"/>
      <c r="BW243" s="182"/>
      <c r="BX243" s="182"/>
      <c r="BY243" s="182"/>
      <c r="BZ243" s="182"/>
      <c r="CA243" s="187"/>
      <c r="CB243" s="182"/>
      <c r="CC243" s="182"/>
      <c r="CD243" s="182"/>
      <c r="CE243" s="182"/>
      <c r="CF243" s="182"/>
      <c r="CG243" s="182"/>
      <c r="CH243" s="182"/>
      <c r="CI243" s="182"/>
      <c r="CJ243" s="182"/>
      <c r="CK243" s="182"/>
      <c r="CL243" s="182"/>
      <c r="CM243" s="182"/>
      <c r="CN243" s="182"/>
      <c r="CO243" s="182"/>
      <c r="CP243" s="182"/>
      <c r="CQ243" s="182"/>
      <c r="CR243" s="182"/>
      <c r="CS243" s="182"/>
      <c r="CT243" s="182"/>
      <c r="CU243" s="182"/>
      <c r="CV243" s="182"/>
      <c r="CW243" s="182">
        <v>0</v>
      </c>
      <c r="CX243" s="182"/>
      <c r="CY243" s="182"/>
      <c r="CZ243" s="182"/>
      <c r="DA243" s="182">
        <v>0</v>
      </c>
      <c r="DB243" s="188"/>
      <c r="DC243" s="182"/>
      <c r="DD243" s="182"/>
      <c r="DE243" s="187"/>
      <c r="DF243" s="182"/>
      <c r="DG243" s="182"/>
      <c r="DH243" s="189"/>
      <c r="DI243" s="182"/>
      <c r="DJ243" s="182"/>
      <c r="DK243" s="196">
        <f t="shared" si="842"/>
        <v>0</v>
      </c>
      <c r="DL243" s="182"/>
      <c r="DM243" s="182"/>
      <c r="DN243" s="182"/>
      <c r="DO243" s="187"/>
      <c r="DP243" s="187"/>
      <c r="DQ243" s="187"/>
      <c r="DR243" s="183">
        <f t="shared" si="846"/>
        <v>3</v>
      </c>
      <c r="DS243" s="183">
        <f t="shared" si="846"/>
        <v>2774863.62</v>
      </c>
      <c r="DT243" s="182">
        <v>0</v>
      </c>
      <c r="DU243" s="182">
        <v>0</v>
      </c>
      <c r="DV243" s="167">
        <f t="shared" si="817"/>
        <v>3</v>
      </c>
      <c r="DW243" s="167">
        <f t="shared" si="817"/>
        <v>2774863.62</v>
      </c>
    </row>
    <row r="244" spans="1:127" ht="15.75" customHeight="1" x14ac:dyDescent="0.25">
      <c r="A244" s="170">
        <v>20</v>
      </c>
      <c r="B244" s="197"/>
      <c r="C244" s="198"/>
      <c r="D244" s="211" t="s">
        <v>573</v>
      </c>
      <c r="E244" s="158">
        <v>25969</v>
      </c>
      <c r="F244" s="199">
        <v>0.87</v>
      </c>
      <c r="G244" s="171"/>
      <c r="H244" s="169"/>
      <c r="I244" s="169"/>
      <c r="J244" s="169"/>
      <c r="K244" s="173"/>
      <c r="L244" s="174">
        <v>1.4</v>
      </c>
      <c r="M244" s="174">
        <v>1.68</v>
      </c>
      <c r="N244" s="174">
        <v>2.23</v>
      </c>
      <c r="O244" s="175">
        <v>2.57</v>
      </c>
      <c r="P244" s="166">
        <f t="shared" ref="P244:CA244" si="847">SUM(P245:P254)</f>
        <v>2124</v>
      </c>
      <c r="Q244" s="166">
        <f t="shared" si="847"/>
        <v>86535724.823799998</v>
      </c>
      <c r="R244" s="166">
        <f t="shared" si="847"/>
        <v>13</v>
      </c>
      <c r="S244" s="166">
        <f t="shared" si="847"/>
        <v>485796.88919999992</v>
      </c>
      <c r="T244" s="166">
        <f t="shared" si="847"/>
        <v>16</v>
      </c>
      <c r="U244" s="166">
        <f t="shared" si="847"/>
        <v>587395.40789999999</v>
      </c>
      <c r="V244" s="166">
        <f t="shared" si="847"/>
        <v>0</v>
      </c>
      <c r="W244" s="166">
        <f t="shared" si="847"/>
        <v>0</v>
      </c>
      <c r="X244" s="166">
        <v>0</v>
      </c>
      <c r="Y244" s="166">
        <v>0</v>
      </c>
      <c r="Z244" s="166">
        <v>0</v>
      </c>
      <c r="AA244" s="166">
        <v>0</v>
      </c>
      <c r="AB244" s="166">
        <f t="shared" si="847"/>
        <v>0</v>
      </c>
      <c r="AC244" s="166">
        <f t="shared" si="847"/>
        <v>0</v>
      </c>
      <c r="AD244" s="166">
        <f t="shared" si="847"/>
        <v>0</v>
      </c>
      <c r="AE244" s="166">
        <f t="shared" si="847"/>
        <v>0</v>
      </c>
      <c r="AF244" s="166">
        <f t="shared" si="847"/>
        <v>0</v>
      </c>
      <c r="AG244" s="166">
        <f t="shared" si="847"/>
        <v>0</v>
      </c>
      <c r="AH244" s="166">
        <f t="shared" si="847"/>
        <v>0</v>
      </c>
      <c r="AI244" s="166">
        <f t="shared" si="847"/>
        <v>0</v>
      </c>
      <c r="AJ244" s="166">
        <f>SUM(AJ245:AJ254)</f>
        <v>0</v>
      </c>
      <c r="AK244" s="166">
        <f>SUM(AK245:AK254)</f>
        <v>0</v>
      </c>
      <c r="AL244" s="166">
        <f t="shared" si="847"/>
        <v>0</v>
      </c>
      <c r="AM244" s="166">
        <f t="shared" si="847"/>
        <v>0</v>
      </c>
      <c r="AN244" s="166">
        <f t="shared" si="847"/>
        <v>457</v>
      </c>
      <c r="AO244" s="166">
        <f t="shared" si="847"/>
        <v>15122854.662400004</v>
      </c>
      <c r="AP244" s="166">
        <f t="shared" si="847"/>
        <v>0</v>
      </c>
      <c r="AQ244" s="166">
        <f t="shared" si="847"/>
        <v>0</v>
      </c>
      <c r="AR244" s="166">
        <f t="shared" si="847"/>
        <v>0</v>
      </c>
      <c r="AS244" s="166">
        <f t="shared" si="847"/>
        <v>0</v>
      </c>
      <c r="AT244" s="166">
        <f t="shared" si="847"/>
        <v>0</v>
      </c>
      <c r="AU244" s="166">
        <f t="shared" si="847"/>
        <v>0</v>
      </c>
      <c r="AV244" s="166">
        <f t="shared" si="847"/>
        <v>1</v>
      </c>
      <c r="AW244" s="166">
        <f t="shared" si="847"/>
        <v>55581.97</v>
      </c>
      <c r="AX244" s="166">
        <f t="shared" si="847"/>
        <v>24</v>
      </c>
      <c r="AY244" s="166">
        <f t="shared" si="847"/>
        <v>808032.70632000011</v>
      </c>
      <c r="AZ244" s="166">
        <f t="shared" si="847"/>
        <v>0</v>
      </c>
      <c r="BA244" s="166">
        <f t="shared" si="847"/>
        <v>0</v>
      </c>
      <c r="BB244" s="166">
        <f t="shared" si="847"/>
        <v>0</v>
      </c>
      <c r="BC244" s="166">
        <f t="shared" si="847"/>
        <v>0</v>
      </c>
      <c r="BD244" s="166">
        <f t="shared" si="847"/>
        <v>0</v>
      </c>
      <c r="BE244" s="166">
        <f t="shared" si="847"/>
        <v>0</v>
      </c>
      <c r="BF244" s="166">
        <f t="shared" si="847"/>
        <v>0</v>
      </c>
      <c r="BG244" s="166">
        <f t="shared" si="847"/>
        <v>0</v>
      </c>
      <c r="BH244" s="166">
        <f t="shared" si="847"/>
        <v>0</v>
      </c>
      <c r="BI244" s="166">
        <f t="shared" si="847"/>
        <v>0</v>
      </c>
      <c r="BJ244" s="166">
        <f t="shared" si="847"/>
        <v>0</v>
      </c>
      <c r="BK244" s="166">
        <f t="shared" si="847"/>
        <v>0</v>
      </c>
      <c r="BL244" s="166">
        <f t="shared" si="847"/>
        <v>18</v>
      </c>
      <c r="BM244" s="166">
        <f t="shared" si="847"/>
        <v>429339.73868200794</v>
      </c>
      <c r="BN244" s="166">
        <f t="shared" si="847"/>
        <v>23</v>
      </c>
      <c r="BO244" s="166">
        <f t="shared" si="847"/>
        <v>752494.36416</v>
      </c>
      <c r="BP244" s="166">
        <f t="shared" si="847"/>
        <v>0</v>
      </c>
      <c r="BQ244" s="166">
        <f t="shared" si="847"/>
        <v>0</v>
      </c>
      <c r="BR244" s="166">
        <f t="shared" si="847"/>
        <v>0</v>
      </c>
      <c r="BS244" s="166">
        <f t="shared" si="847"/>
        <v>0</v>
      </c>
      <c r="BT244" s="166">
        <f t="shared" si="847"/>
        <v>38</v>
      </c>
      <c r="BU244" s="166">
        <f t="shared" si="847"/>
        <v>938010.12827580795</v>
      </c>
      <c r="BV244" s="166">
        <f t="shared" si="847"/>
        <v>11</v>
      </c>
      <c r="BW244" s="166">
        <f t="shared" si="847"/>
        <v>242265.83976</v>
      </c>
      <c r="BX244" s="166">
        <f t="shared" si="847"/>
        <v>16</v>
      </c>
      <c r="BY244" s="166">
        <f t="shared" si="847"/>
        <v>623705.09334335988</v>
      </c>
      <c r="BZ244" s="166">
        <f t="shared" si="847"/>
        <v>20</v>
      </c>
      <c r="CA244" s="166">
        <f t="shared" si="847"/>
        <v>848434.07986847986</v>
      </c>
      <c r="CB244" s="166">
        <f t="shared" ref="CB244:DQ244" si="848">SUM(CB245:CB254)</f>
        <v>25</v>
      </c>
      <c r="CC244" s="166">
        <f t="shared" si="848"/>
        <v>766726.91265916661</v>
      </c>
      <c r="CD244" s="166">
        <f t="shared" si="848"/>
        <v>0</v>
      </c>
      <c r="CE244" s="166">
        <f t="shared" si="848"/>
        <v>0</v>
      </c>
      <c r="CF244" s="166">
        <f t="shared" si="848"/>
        <v>0</v>
      </c>
      <c r="CG244" s="166">
        <f t="shared" si="848"/>
        <v>0</v>
      </c>
      <c r="CH244" s="166">
        <f t="shared" si="848"/>
        <v>2</v>
      </c>
      <c r="CI244" s="166">
        <f t="shared" si="848"/>
        <v>69041.083055783994</v>
      </c>
      <c r="CJ244" s="166">
        <f t="shared" si="848"/>
        <v>0</v>
      </c>
      <c r="CK244" s="166">
        <f t="shared" si="848"/>
        <v>0</v>
      </c>
      <c r="CL244" s="166">
        <f t="shared" si="848"/>
        <v>0</v>
      </c>
      <c r="CM244" s="166">
        <f t="shared" si="848"/>
        <v>0</v>
      </c>
      <c r="CN244" s="166">
        <f t="shared" si="848"/>
        <v>0</v>
      </c>
      <c r="CO244" s="166">
        <f t="shared" si="848"/>
        <v>0</v>
      </c>
      <c r="CP244" s="166">
        <f t="shared" si="848"/>
        <v>20</v>
      </c>
      <c r="CQ244" s="166">
        <f t="shared" si="848"/>
        <v>378770.62097279989</v>
      </c>
      <c r="CR244" s="166">
        <f t="shared" si="848"/>
        <v>15</v>
      </c>
      <c r="CS244" s="166">
        <f t="shared" si="848"/>
        <v>317747.60030348989</v>
      </c>
      <c r="CT244" s="166">
        <f t="shared" si="848"/>
        <v>13</v>
      </c>
      <c r="CU244" s="166">
        <f t="shared" si="848"/>
        <v>306479.36476541997</v>
      </c>
      <c r="CV244" s="166">
        <f t="shared" si="848"/>
        <v>64</v>
      </c>
      <c r="CW244" s="166">
        <v>1861603.2499999998</v>
      </c>
      <c r="CX244" s="166">
        <f t="shared" si="848"/>
        <v>6</v>
      </c>
      <c r="CY244" s="166">
        <f t="shared" si="848"/>
        <v>247184.7786702</v>
      </c>
      <c r="CZ244" s="166">
        <f t="shared" si="848"/>
        <v>0</v>
      </c>
      <c r="DA244" s="166">
        <v>0</v>
      </c>
      <c r="DB244" s="166">
        <f t="shared" si="848"/>
        <v>1446</v>
      </c>
      <c r="DC244" s="166">
        <f t="shared" si="848"/>
        <v>55237178.628239997</v>
      </c>
      <c r="DD244" s="166">
        <f t="shared" si="848"/>
        <v>0</v>
      </c>
      <c r="DE244" s="166">
        <f t="shared" si="848"/>
        <v>0</v>
      </c>
      <c r="DF244" s="166">
        <f t="shared" si="848"/>
        <v>0</v>
      </c>
      <c r="DG244" s="166">
        <f t="shared" si="848"/>
        <v>0</v>
      </c>
      <c r="DH244" s="166">
        <f t="shared" si="848"/>
        <v>5</v>
      </c>
      <c r="DI244" s="166">
        <f t="shared" si="848"/>
        <v>121721.89679999999</v>
      </c>
      <c r="DJ244" s="166">
        <f t="shared" si="848"/>
        <v>3</v>
      </c>
      <c r="DK244" s="166">
        <f t="shared" si="848"/>
        <v>78442.618415699981</v>
      </c>
      <c r="DL244" s="166">
        <f t="shared" si="848"/>
        <v>4</v>
      </c>
      <c r="DM244" s="166">
        <f t="shared" si="848"/>
        <v>141302.52280000001</v>
      </c>
      <c r="DN244" s="166">
        <f t="shared" si="848"/>
        <v>7</v>
      </c>
      <c r="DO244" s="166">
        <f t="shared" si="848"/>
        <v>294992.25859999994</v>
      </c>
      <c r="DP244" s="166">
        <f t="shared" si="848"/>
        <v>0</v>
      </c>
      <c r="DQ244" s="166">
        <f t="shared" si="848"/>
        <v>0</v>
      </c>
      <c r="DR244" s="166">
        <f>SUM(DR245:DR254)</f>
        <v>4371</v>
      </c>
      <c r="DS244" s="166">
        <f t="shared" ref="DS244" si="849">SUM(DS245:DS254)</f>
        <v>167250827.23899221</v>
      </c>
      <c r="DT244" s="166">
        <v>4363</v>
      </c>
      <c r="DU244" s="166">
        <v>166447459.53596002</v>
      </c>
      <c r="DV244" s="167">
        <f t="shared" si="817"/>
        <v>8</v>
      </c>
      <c r="DW244" s="167">
        <f t="shared" si="817"/>
        <v>803367.70303219557</v>
      </c>
    </row>
    <row r="245" spans="1:127" ht="45" customHeight="1" x14ac:dyDescent="0.25">
      <c r="A245" s="154"/>
      <c r="B245" s="176">
        <v>210</v>
      </c>
      <c r="C245" s="177" t="s">
        <v>574</v>
      </c>
      <c r="D245" s="210" t="s">
        <v>575</v>
      </c>
      <c r="E245" s="158">
        <v>25969</v>
      </c>
      <c r="F245" s="179">
        <v>0.66</v>
      </c>
      <c r="G245" s="168">
        <v>1</v>
      </c>
      <c r="H245" s="169"/>
      <c r="I245" s="169"/>
      <c r="J245" s="169"/>
      <c r="K245" s="106"/>
      <c r="L245" s="180">
        <v>1.4</v>
      </c>
      <c r="M245" s="180">
        <v>1.68</v>
      </c>
      <c r="N245" s="180">
        <v>2.23</v>
      </c>
      <c r="O245" s="181">
        <v>2.57</v>
      </c>
      <c r="P245" s="182">
        <v>33</v>
      </c>
      <c r="Q245" s="182">
        <f t="shared" ref="Q245:Q251" si="850">(P245*$E245*$F245*$G245*$L245*$Q$12)</f>
        <v>871031.42280000006</v>
      </c>
      <c r="R245" s="182"/>
      <c r="S245" s="182">
        <f t="shared" ref="S245:S251" si="851">(R245*$E245*$F245*$G245*$L245*$S$12)</f>
        <v>0</v>
      </c>
      <c r="T245" s="182"/>
      <c r="U245" s="182">
        <f t="shared" ref="U245:U251" si="852">(T245/12*11*$E245*$F245*$G245*$L245*$U$12)+(T245/12*1*$E245*$F245*$G245*$L245*$U$14)</f>
        <v>0</v>
      </c>
      <c r="V245" s="182"/>
      <c r="W245" s="183">
        <f t="shared" ref="W245:W251" si="853">(V245*$E245*$F245*$G245*$L245*$W$12)/12*10+(V245*$E245*$F245*$G245*$L245*$W$13)/12*1++(V245*$E245*$F245*$G245*$L245*$W$14)/12*1</f>
        <v>0</v>
      </c>
      <c r="X245" s="183"/>
      <c r="Y245" s="183">
        <v>0</v>
      </c>
      <c r="Z245" s="183"/>
      <c r="AA245" s="183">
        <v>0</v>
      </c>
      <c r="AB245" s="182">
        <f t="shared" ref="AB245:AC254" si="854">X245+Z245</f>
        <v>0</v>
      </c>
      <c r="AC245" s="182">
        <f t="shared" si="854"/>
        <v>0</v>
      </c>
      <c r="AD245" s="182"/>
      <c r="AE245" s="182">
        <f t="shared" ref="AE245:AE251" si="855">(AD245*$E245*$F245*$G245*$L245*$AE$12)</f>
        <v>0</v>
      </c>
      <c r="AF245" s="182"/>
      <c r="AG245" s="182"/>
      <c r="AH245" s="182"/>
      <c r="AI245" s="182">
        <f t="shared" ref="AI245:AI251" si="856">(AH245*$E245*$F245*$G245*$L245*$AI$12)</f>
        <v>0</v>
      </c>
      <c r="AJ245" s="182"/>
      <c r="AK245" s="182"/>
      <c r="AL245" s="182"/>
      <c r="AM245" s="182"/>
      <c r="AN245" s="205">
        <v>7</v>
      </c>
      <c r="AO245" s="182">
        <v>145171.91</v>
      </c>
      <c r="AP245" s="182"/>
      <c r="AQ245" s="183">
        <f t="shared" ref="AQ245:AQ251" si="857">(AP245*$E245*$F245*$G245*$L245*$AQ$12)</f>
        <v>0</v>
      </c>
      <c r="AR245" s="182"/>
      <c r="AS245" s="182">
        <f t="shared" ref="AS245:AS251" si="858">(AR245*$E245*$F245*$G245*$L245*$AS$12)/12*10+(AR245*$E245*$F245*$G245*$L245*$AS$13)/12*1+(AR245*$E245*$F245*$G245*$L245*$AS$14)/12*1</f>
        <v>0</v>
      </c>
      <c r="AT245" s="182"/>
      <c r="AU245" s="182">
        <f t="shared" ref="AU245:AU251" si="859">(AT245*$E245*$F245*$G245*$M245*$AU$12)</f>
        <v>0</v>
      </c>
      <c r="AV245" s="188"/>
      <c r="AW245" s="182">
        <f t="shared" ref="AW245:AW251" si="860">(AV245*$E245*$F245*$G245*$M245*$AW$12)</f>
        <v>0</v>
      </c>
      <c r="AX245" s="182"/>
      <c r="AY245" s="187">
        <f t="shared" ref="AY245:AY251" si="861">(AX245*$E245*$F245*$G245*$M245*$AY$12)</f>
        <v>0</v>
      </c>
      <c r="AZ245" s="182"/>
      <c r="BA245" s="182">
        <f t="shared" ref="BA245:BA251" si="862">(AZ245*$E245*$F245*$G245*$L245*$BA$12)</f>
        <v>0</v>
      </c>
      <c r="BB245" s="182">
        <v>0</v>
      </c>
      <c r="BC245" s="182">
        <f t="shared" ref="BC245:BC251" si="863">(BB245*$E245*$F245*$G245*$L245*$BC$12)</f>
        <v>0</v>
      </c>
      <c r="BD245" s="182"/>
      <c r="BE245" s="182">
        <f t="shared" ref="BE245:BE251" si="864">(BD245*$E245*$F245*$G245*$L245*$BE$12)</f>
        <v>0</v>
      </c>
      <c r="BF245" s="182"/>
      <c r="BG245" s="182">
        <f t="shared" ref="BG245:BG251" si="865">(BF245*$E245*$F245*$G245*$L245*$BG$12)</f>
        <v>0</v>
      </c>
      <c r="BH245" s="182"/>
      <c r="BI245" s="183">
        <f t="shared" ref="BI245:BI251" si="866">(BH245*$E245*$F245*$G245*$L245*$BI$12)</f>
        <v>0</v>
      </c>
      <c r="BJ245" s="182"/>
      <c r="BK245" s="183">
        <f t="shared" ref="BK245:BK251" si="867">(BJ245*$E245*$F245*$G245*$L245*$BK$12)</f>
        <v>0</v>
      </c>
      <c r="BL245" s="182"/>
      <c r="BM245" s="182">
        <f t="shared" ref="BM245:BM251" si="868">(BL245*$E245*$F245*$G245*$L245*$BM$12)</f>
        <v>0</v>
      </c>
      <c r="BN245" s="182"/>
      <c r="BO245" s="182">
        <f t="shared" ref="BO245:BO251" si="869">(BN245*$E245*$F245*$G245*$M245*$BO$12)</f>
        <v>0</v>
      </c>
      <c r="BP245" s="182"/>
      <c r="BQ245" s="182">
        <f t="shared" ref="BQ245:BQ251" si="870">(BP245*$E245*$F245*$G245*$M245*$BQ$12)</f>
        <v>0</v>
      </c>
      <c r="BR245" s="182"/>
      <c r="BS245" s="183">
        <f t="shared" ref="BS245:BS251" si="871">(BR245*$E245*$F245*$G245*$M245*$BS$12)</f>
        <v>0</v>
      </c>
      <c r="BT245" s="182"/>
      <c r="BU245" s="182">
        <f t="shared" ref="BU245:BU251" si="872">(BT245*$E245*$F245*$G245*$M245*$BU$12)</f>
        <v>0</v>
      </c>
      <c r="BV245" s="182"/>
      <c r="BW245" s="182">
        <f t="shared" ref="BW245:BW251" si="873">(BV245*$E245*$F245*$G245*$M245*$BW$12)</f>
        <v>0</v>
      </c>
      <c r="BX245" s="182"/>
      <c r="BY245" s="183">
        <f t="shared" ref="BY245:BY251" si="874">(BX245*$E245*$F245*$G245*$M245*$BY$12)</f>
        <v>0</v>
      </c>
      <c r="BZ245" s="182"/>
      <c r="CA245" s="187">
        <f t="shared" ref="CA245:CA251" si="875">(BZ245*$E245*$F245*$G245*$M245*$CA$12)</f>
        <v>0</v>
      </c>
      <c r="CB245" s="182"/>
      <c r="CC245" s="182">
        <f t="shared" ref="CC245:CC251" si="876">(CB245*$E245*$F245*$G245*$L245*$CC$12)</f>
        <v>0</v>
      </c>
      <c r="CD245" s="182"/>
      <c r="CE245" s="182">
        <f t="shared" ref="CE245:CE251" si="877">(CD245*$E245*$F245*$G245*$L245*$CE$12)</f>
        <v>0</v>
      </c>
      <c r="CF245" s="182"/>
      <c r="CG245" s="182">
        <f t="shared" ref="CG245:CG251" si="878">(CF245*$E245*$F245*$G245*$L245*$CG$12)</f>
        <v>0</v>
      </c>
      <c r="CH245" s="182"/>
      <c r="CI245" s="182">
        <f t="shared" ref="CI245:CI251" si="879">(CH245*$E245*$F245*$G245*$M245*$CI$12)</f>
        <v>0</v>
      </c>
      <c r="CJ245" s="182"/>
      <c r="CK245" s="182"/>
      <c r="CL245" s="182"/>
      <c r="CM245" s="183">
        <f t="shared" ref="CM245:CM251" si="880">(CL245*$E245*$F245*$G245*$L245*$CM$12)</f>
        <v>0</v>
      </c>
      <c r="CN245" s="182"/>
      <c r="CO245" s="183">
        <f t="shared" ref="CO245:CO251" si="881">(CN245*$E245*$F245*$G245*$L245*$CO$12)</f>
        <v>0</v>
      </c>
      <c r="CP245" s="182"/>
      <c r="CQ245" s="182">
        <f t="shared" ref="CQ245:CQ251" si="882">(CP245*$E245*$F245*$G245*$L245*$CQ$12)</f>
        <v>0</v>
      </c>
      <c r="CR245" s="182"/>
      <c r="CS245" s="182">
        <f t="shared" ref="CS245:CS251" si="883">(CR245*$E245*$F245*$G245*$L245*$CS$12)</f>
        <v>0</v>
      </c>
      <c r="CT245" s="182"/>
      <c r="CU245" s="182">
        <f t="shared" ref="CU245:CU251" si="884">(CT245*$E245*$F245*$G245*$L245*$CU$12)</f>
        <v>0</v>
      </c>
      <c r="CV245" s="182"/>
      <c r="CW245" s="182">
        <v>0</v>
      </c>
      <c r="CX245" s="182"/>
      <c r="CY245" s="182">
        <f t="shared" ref="CY245:CY251" si="885">(CX245*$E245*$F245*$G245*$M245*$CY$12)</f>
        <v>0</v>
      </c>
      <c r="CZ245" s="182"/>
      <c r="DA245" s="182">
        <v>0</v>
      </c>
      <c r="DB245" s="188">
        <v>10</v>
      </c>
      <c r="DC245" s="182">
        <f t="shared" ref="DC245:DC251" si="886">(DB245*$E245*$F245*$G245*$M245*$DC$12)</f>
        <v>259149.84479999999</v>
      </c>
      <c r="DD245" s="182"/>
      <c r="DE245" s="187">
        <f t="shared" ref="DE245:DE251" si="887">(DD245*$E245*$F245*$G245*$M245*DE$12)</f>
        <v>0</v>
      </c>
      <c r="DF245" s="182"/>
      <c r="DG245" s="182">
        <f t="shared" ref="DG245:DG251" si="888">(DF245*$E245*$F245*$G245*$M245*$DG$12)</f>
        <v>0</v>
      </c>
      <c r="DH245" s="189"/>
      <c r="DI245" s="182">
        <f t="shared" ref="DI245:DI251" si="889">(DH245*$E245*$F245*$G245*$M245*$DI$12)</f>
        <v>0</v>
      </c>
      <c r="DJ245" s="182"/>
      <c r="DK245" s="182">
        <f t="shared" ref="DK245:DK251" si="890">(DJ245*$E245*$F245*$G245*$M245*$DK$12)</f>
        <v>0</v>
      </c>
      <c r="DL245" s="182"/>
      <c r="DM245" s="182">
        <f t="shared" ref="DM245:DM251" si="891">(DL245*$E245*$F245*$G245*$N245*$DM$12)</f>
        <v>0</v>
      </c>
      <c r="DN245" s="182"/>
      <c r="DO245" s="190">
        <f t="shared" ref="DO245:DO251" si="892">(DN245*$E245*$F245*$G245*$O245*$DO$12)</f>
        <v>0</v>
      </c>
      <c r="DP245" s="187"/>
      <c r="DQ245" s="187"/>
      <c r="DR245" s="183">
        <f t="shared" ref="DR245:DS254" si="893">SUM(P245,R245,T245,V245,AB245,AJ245,AD245,AF245,AH245,AL245,AN245,AP245,AV245,AZ245,BB245,CF245,AR245,BF245,BH245,BJ245,CT245,BL245,BN245,AT245,BR245,AX245,CV245,BT245,CX245,BV245,BX245,BZ245,CH245,CB245,CD245,CJ245,CL245,CN245,CP245,CR245,CZ245,DB245,BP245,BD245,DD245,DF245,DH245,DJ245,DL245,DN245,DP245)</f>
        <v>50</v>
      </c>
      <c r="DS245" s="183">
        <f t="shared" si="893"/>
        <v>1275353.1776000001</v>
      </c>
      <c r="DT245" s="182">
        <v>50</v>
      </c>
      <c r="DU245" s="182">
        <v>1275353.1776000001</v>
      </c>
      <c r="DV245" s="167">
        <f t="shared" si="817"/>
        <v>0</v>
      </c>
      <c r="DW245" s="167">
        <f t="shared" si="817"/>
        <v>0</v>
      </c>
    </row>
    <row r="246" spans="1:127" ht="30" customHeight="1" x14ac:dyDescent="0.25">
      <c r="A246" s="154"/>
      <c r="B246" s="176">
        <v>211</v>
      </c>
      <c r="C246" s="177" t="s">
        <v>576</v>
      </c>
      <c r="D246" s="210" t="s">
        <v>577</v>
      </c>
      <c r="E246" s="158">
        <v>25969</v>
      </c>
      <c r="F246" s="179">
        <v>0.47</v>
      </c>
      <c r="G246" s="168">
        <v>1</v>
      </c>
      <c r="H246" s="169"/>
      <c r="I246" s="169"/>
      <c r="J246" s="169"/>
      <c r="K246" s="106"/>
      <c r="L246" s="180">
        <v>1.4</v>
      </c>
      <c r="M246" s="180">
        <v>1.68</v>
      </c>
      <c r="N246" s="180">
        <v>2.23</v>
      </c>
      <c r="O246" s="181">
        <v>2.57</v>
      </c>
      <c r="P246" s="182">
        <v>75</v>
      </c>
      <c r="Q246" s="182">
        <f t="shared" si="850"/>
        <v>1409727.165</v>
      </c>
      <c r="R246" s="182"/>
      <c r="S246" s="182">
        <f t="shared" si="851"/>
        <v>0</v>
      </c>
      <c r="T246" s="182"/>
      <c r="U246" s="182">
        <f t="shared" si="852"/>
        <v>0</v>
      </c>
      <c r="V246" s="182"/>
      <c r="W246" s="183">
        <f t="shared" si="853"/>
        <v>0</v>
      </c>
      <c r="X246" s="183"/>
      <c r="Y246" s="183">
        <v>0</v>
      </c>
      <c r="Z246" s="183"/>
      <c r="AA246" s="183">
        <v>0</v>
      </c>
      <c r="AB246" s="182">
        <f t="shared" si="854"/>
        <v>0</v>
      </c>
      <c r="AC246" s="182">
        <f t="shared" si="854"/>
        <v>0</v>
      </c>
      <c r="AD246" s="182"/>
      <c r="AE246" s="182">
        <f t="shared" si="855"/>
        <v>0</v>
      </c>
      <c r="AF246" s="182"/>
      <c r="AG246" s="182"/>
      <c r="AH246" s="182"/>
      <c r="AI246" s="182">
        <f t="shared" si="856"/>
        <v>0</v>
      </c>
      <c r="AJ246" s="182"/>
      <c r="AK246" s="182"/>
      <c r="AL246" s="182"/>
      <c r="AM246" s="182"/>
      <c r="AN246" s="205">
        <v>83</v>
      </c>
      <c r="AO246" s="182">
        <v>1531903.3400000017</v>
      </c>
      <c r="AP246" s="182"/>
      <c r="AQ246" s="183">
        <f t="shared" si="857"/>
        <v>0</v>
      </c>
      <c r="AR246" s="182"/>
      <c r="AS246" s="182">
        <f t="shared" si="858"/>
        <v>0</v>
      </c>
      <c r="AT246" s="182"/>
      <c r="AU246" s="182">
        <f t="shared" si="859"/>
        <v>0</v>
      </c>
      <c r="AV246" s="188"/>
      <c r="AW246" s="182">
        <f t="shared" si="860"/>
        <v>0</v>
      </c>
      <c r="AX246" s="182">
        <v>5</v>
      </c>
      <c r="AY246" s="187">
        <f t="shared" si="861"/>
        <v>112778.17319999999</v>
      </c>
      <c r="AZ246" s="182"/>
      <c r="BA246" s="182">
        <f t="shared" si="862"/>
        <v>0</v>
      </c>
      <c r="BB246" s="182">
        <v>0</v>
      </c>
      <c r="BC246" s="182">
        <f t="shared" si="863"/>
        <v>0</v>
      </c>
      <c r="BD246" s="182"/>
      <c r="BE246" s="182">
        <f t="shared" si="864"/>
        <v>0</v>
      </c>
      <c r="BF246" s="182"/>
      <c r="BG246" s="182">
        <f t="shared" si="865"/>
        <v>0</v>
      </c>
      <c r="BH246" s="182"/>
      <c r="BI246" s="183">
        <f t="shared" si="866"/>
        <v>0</v>
      </c>
      <c r="BJ246" s="182"/>
      <c r="BK246" s="183">
        <f t="shared" si="867"/>
        <v>0</v>
      </c>
      <c r="BL246" s="182">
        <v>18</v>
      </c>
      <c r="BM246" s="182">
        <f t="shared" ref="BM246" si="894">(BL246/12*11*$E246*$F246*$G246*$L246*$BM$12)+(BL246/12*$E246*$F246*$G246*$L246*$BM$12*$BM$15)</f>
        <v>429339.73868200794</v>
      </c>
      <c r="BN246" s="182">
        <v>9</v>
      </c>
      <c r="BO246" s="182">
        <f t="shared" si="869"/>
        <v>203000.71176000001</v>
      </c>
      <c r="BP246" s="182"/>
      <c r="BQ246" s="182">
        <f t="shared" si="870"/>
        <v>0</v>
      </c>
      <c r="BR246" s="182"/>
      <c r="BS246" s="183">
        <f t="shared" si="871"/>
        <v>0</v>
      </c>
      <c r="BT246" s="182">
        <v>32</v>
      </c>
      <c r="BU246" s="182">
        <f t="shared" ref="BU246:BU248" si="895">(BT246*$E246*$F246*$G246*$M246*$BU$12)/12*10+(BT246*$E246*$F246*$G246*$M246*$BU$13)/12+(BT246*$E246*$F246*$G246*$M246*$BU$13*$BU$15)/12</f>
        <v>730967.47820042237</v>
      </c>
      <c r="BV246" s="182">
        <v>6</v>
      </c>
      <c r="BW246" s="182">
        <f t="shared" si="873"/>
        <v>110727.66096000001</v>
      </c>
      <c r="BX246" s="182">
        <v>4</v>
      </c>
      <c r="BY246" s="183">
        <f t="shared" ref="BY246:BY250" si="896">(BX246*$E246*$F246*$G246*$M246*$BY$12)/12*11+(BX246*$E246*$F246*$G246*$M246*$BY$12*$BY$15)/12</f>
        <v>110619.39391372798</v>
      </c>
      <c r="BZ246" s="182">
        <v>3</v>
      </c>
      <c r="CA246" s="187">
        <f t="shared" ref="CA246:CA250" si="897">(BZ246*$E246*$F246*$G246*$M246*$CA$12)/12*11+(BZ246*$E246*$F246*$G246*$M246*$CA$12*$CA$15)/12</f>
        <v>80395.971277859993</v>
      </c>
      <c r="CB246" s="182"/>
      <c r="CC246" s="182">
        <f t="shared" si="876"/>
        <v>0</v>
      </c>
      <c r="CD246" s="182"/>
      <c r="CE246" s="182">
        <f t="shared" si="877"/>
        <v>0</v>
      </c>
      <c r="CF246" s="182"/>
      <c r="CG246" s="182">
        <f t="shared" si="878"/>
        <v>0</v>
      </c>
      <c r="CH246" s="182"/>
      <c r="CI246" s="182">
        <f t="shared" si="879"/>
        <v>0</v>
      </c>
      <c r="CJ246" s="182"/>
      <c r="CK246" s="182"/>
      <c r="CL246" s="182"/>
      <c r="CM246" s="183">
        <f t="shared" si="880"/>
        <v>0</v>
      </c>
      <c r="CN246" s="182"/>
      <c r="CO246" s="183">
        <f t="shared" si="881"/>
        <v>0</v>
      </c>
      <c r="CP246" s="182">
        <v>20</v>
      </c>
      <c r="CQ246" s="182">
        <f>(CP246*$E246*$F246*$G246*$L246*$CQ$12)/12*11+(CP246*$E246*$F246*$G246*$L246*$CQ$12*$CQ$15)/12</f>
        <v>378770.62097279989</v>
      </c>
      <c r="CR246" s="182">
        <v>14</v>
      </c>
      <c r="CS246" s="182">
        <f t="shared" ref="CS246:CS248" si="898">(CR246*$E246*$F246*$G246*$L246*$CS$12)/12*10+(CR246*$E246*$F246*$G246*$L246*$CS$13)/12+(CR246*$E246*$F246*$G246*$L246*$CS$13*$CS$15)/12</f>
        <v>286800.98902564659</v>
      </c>
      <c r="CT246" s="182">
        <v>5</v>
      </c>
      <c r="CU246" s="182">
        <f t="shared" ref="CU246:CU248" si="899">(CT246*$E246*$F246*$G246*$L246*$CU$12)/12*11+(CT246*$E246*$F246*$G246*$L246*$CU$12*$CU$15)/12</f>
        <v>89691.968517899979</v>
      </c>
      <c r="CV246" s="182">
        <v>27</v>
      </c>
      <c r="CW246" s="182">
        <v>571089.41999999993</v>
      </c>
      <c r="CX246" s="182"/>
      <c r="CY246" s="182">
        <f t="shared" si="885"/>
        <v>0</v>
      </c>
      <c r="CZ246" s="182"/>
      <c r="DA246" s="182">
        <v>0</v>
      </c>
      <c r="DB246" s="188">
        <v>208</v>
      </c>
      <c r="DC246" s="182">
        <f t="shared" si="886"/>
        <v>3838558.9132799995</v>
      </c>
      <c r="DD246" s="182"/>
      <c r="DE246" s="187">
        <f t="shared" si="887"/>
        <v>0</v>
      </c>
      <c r="DF246" s="182"/>
      <c r="DG246" s="182">
        <f t="shared" si="888"/>
        <v>0</v>
      </c>
      <c r="DH246" s="189">
        <f>ROUND(5*0.75,0)</f>
        <v>4</v>
      </c>
      <c r="DI246" s="182">
        <f>(DH246*$E246*$F246*$G246*$M246*$DI$12)</f>
        <v>82020.489599999986</v>
      </c>
      <c r="DJ246" s="182">
        <v>2</v>
      </c>
      <c r="DK246" s="182">
        <f t="shared" ref="DK246:DK249" si="900">(DJ246/12*11*$E246*$F246*$G246*$M246*$DK$12)+(DJ246/12*1*$E246*$F246*$M246*$G246*$DK$12*$DK$15)</f>
        <v>44688.52200651999</v>
      </c>
      <c r="DL246" s="182"/>
      <c r="DM246" s="182">
        <f t="shared" si="891"/>
        <v>0</v>
      </c>
      <c r="DN246" s="182">
        <f>ROUND(2*0.75,0)</f>
        <v>2</v>
      </c>
      <c r="DO246" s="190">
        <f t="shared" si="892"/>
        <v>62735.910199999991</v>
      </c>
      <c r="DP246" s="187"/>
      <c r="DQ246" s="187"/>
      <c r="DR246" s="183">
        <f t="shared" si="893"/>
        <v>517</v>
      </c>
      <c r="DS246" s="183">
        <f t="shared" si="893"/>
        <v>10073816.466596887</v>
      </c>
      <c r="DT246" s="182">
        <v>517</v>
      </c>
      <c r="DU246" s="182">
        <v>9857313.9997866675</v>
      </c>
      <c r="DV246" s="167">
        <f t="shared" si="817"/>
        <v>0</v>
      </c>
      <c r="DW246" s="167">
        <f t="shared" si="817"/>
        <v>216502.46681021899</v>
      </c>
    </row>
    <row r="247" spans="1:127" ht="22.5" customHeight="1" x14ac:dyDescent="0.25">
      <c r="A247" s="154"/>
      <c r="B247" s="176">
        <v>212</v>
      </c>
      <c r="C247" s="177" t="s">
        <v>578</v>
      </c>
      <c r="D247" s="210" t="s">
        <v>579</v>
      </c>
      <c r="E247" s="158">
        <v>25969</v>
      </c>
      <c r="F247" s="179">
        <v>0.61</v>
      </c>
      <c r="G247" s="243">
        <v>1</v>
      </c>
      <c r="H247" s="242"/>
      <c r="I247" s="242"/>
      <c r="J247" s="242"/>
      <c r="K247" s="106"/>
      <c r="L247" s="180">
        <v>1.4</v>
      </c>
      <c r="M247" s="180">
        <v>1.68</v>
      </c>
      <c r="N247" s="180">
        <v>2.23</v>
      </c>
      <c r="O247" s="181">
        <v>2.57</v>
      </c>
      <c r="P247" s="182">
        <v>40</v>
      </c>
      <c r="Q247" s="182">
        <f t="shared" si="850"/>
        <v>975811.14399999997</v>
      </c>
      <c r="R247" s="182"/>
      <c r="S247" s="182">
        <f t="shared" si="851"/>
        <v>0</v>
      </c>
      <c r="T247" s="182"/>
      <c r="U247" s="182">
        <f t="shared" si="852"/>
        <v>0</v>
      </c>
      <c r="V247" s="182"/>
      <c r="W247" s="183">
        <f t="shared" si="853"/>
        <v>0</v>
      </c>
      <c r="X247" s="183"/>
      <c r="Y247" s="183">
        <v>0</v>
      </c>
      <c r="Z247" s="183"/>
      <c r="AA247" s="183">
        <v>0</v>
      </c>
      <c r="AB247" s="182">
        <f t="shared" si="854"/>
        <v>0</v>
      </c>
      <c r="AC247" s="182">
        <f t="shared" si="854"/>
        <v>0</v>
      </c>
      <c r="AD247" s="182"/>
      <c r="AE247" s="182">
        <f t="shared" si="855"/>
        <v>0</v>
      </c>
      <c r="AF247" s="182"/>
      <c r="AG247" s="182"/>
      <c r="AH247" s="182"/>
      <c r="AI247" s="182">
        <f t="shared" si="856"/>
        <v>0</v>
      </c>
      <c r="AJ247" s="182"/>
      <c r="AK247" s="182"/>
      <c r="AL247" s="182"/>
      <c r="AM247" s="182"/>
      <c r="AN247" s="205">
        <v>27</v>
      </c>
      <c r="AO247" s="182">
        <f t="shared" ref="AO247:AO251" si="901">(AN247*$E247*$F247*$G247*$L247*$AO$12)</f>
        <v>658672.52220000001</v>
      </c>
      <c r="AP247" s="182"/>
      <c r="AQ247" s="183">
        <f t="shared" si="857"/>
        <v>0</v>
      </c>
      <c r="AR247" s="182"/>
      <c r="AS247" s="182">
        <f t="shared" si="858"/>
        <v>0</v>
      </c>
      <c r="AT247" s="182"/>
      <c r="AU247" s="182">
        <f t="shared" si="859"/>
        <v>0</v>
      </c>
      <c r="AV247" s="188"/>
      <c r="AW247" s="182">
        <f t="shared" si="860"/>
        <v>0</v>
      </c>
      <c r="AX247" s="182">
        <v>5</v>
      </c>
      <c r="AY247" s="187">
        <f t="shared" si="861"/>
        <v>146371.6716</v>
      </c>
      <c r="AZ247" s="182"/>
      <c r="BA247" s="182">
        <f t="shared" si="862"/>
        <v>0</v>
      </c>
      <c r="BB247" s="182">
        <v>0</v>
      </c>
      <c r="BC247" s="182">
        <f t="shared" si="863"/>
        <v>0</v>
      </c>
      <c r="BD247" s="182"/>
      <c r="BE247" s="182">
        <f t="shared" si="864"/>
        <v>0</v>
      </c>
      <c r="BF247" s="182"/>
      <c r="BG247" s="182">
        <f t="shared" si="865"/>
        <v>0</v>
      </c>
      <c r="BH247" s="182"/>
      <c r="BI247" s="183">
        <f t="shared" si="866"/>
        <v>0</v>
      </c>
      <c r="BJ247" s="182"/>
      <c r="BK247" s="183">
        <f t="shared" si="867"/>
        <v>0</v>
      </c>
      <c r="BL247" s="182"/>
      <c r="BM247" s="182">
        <f t="shared" si="868"/>
        <v>0</v>
      </c>
      <c r="BN247" s="182">
        <v>2</v>
      </c>
      <c r="BO247" s="182">
        <f t="shared" si="869"/>
        <v>58548.668639999996</v>
      </c>
      <c r="BP247" s="182"/>
      <c r="BQ247" s="182">
        <f t="shared" si="870"/>
        <v>0</v>
      </c>
      <c r="BR247" s="182"/>
      <c r="BS247" s="183">
        <f t="shared" si="871"/>
        <v>0</v>
      </c>
      <c r="BT247" s="182"/>
      <c r="BU247" s="182">
        <f t="shared" si="895"/>
        <v>0</v>
      </c>
      <c r="BV247" s="182">
        <v>2</v>
      </c>
      <c r="BW247" s="182">
        <f t="shared" si="873"/>
        <v>47903.456159999994</v>
      </c>
      <c r="BX247" s="182">
        <v>4</v>
      </c>
      <c r="BY247" s="183">
        <f t="shared" si="896"/>
        <v>143569.85167526398</v>
      </c>
      <c r="BZ247" s="182"/>
      <c r="CA247" s="187">
        <f t="shared" si="897"/>
        <v>0</v>
      </c>
      <c r="CB247" s="182"/>
      <c r="CC247" s="182">
        <f t="shared" si="876"/>
        <v>0</v>
      </c>
      <c r="CD247" s="182"/>
      <c r="CE247" s="182">
        <f t="shared" si="877"/>
        <v>0</v>
      </c>
      <c r="CF247" s="182"/>
      <c r="CG247" s="182">
        <f t="shared" si="878"/>
        <v>0</v>
      </c>
      <c r="CH247" s="182"/>
      <c r="CI247" s="182">
        <f t="shared" si="879"/>
        <v>0</v>
      </c>
      <c r="CJ247" s="182"/>
      <c r="CK247" s="182"/>
      <c r="CL247" s="182"/>
      <c r="CM247" s="183">
        <f t="shared" si="880"/>
        <v>0</v>
      </c>
      <c r="CN247" s="182"/>
      <c r="CO247" s="183">
        <f t="shared" si="881"/>
        <v>0</v>
      </c>
      <c r="CP247" s="182"/>
      <c r="CQ247" s="182">
        <f t="shared" si="882"/>
        <v>0</v>
      </c>
      <c r="CR247" s="182"/>
      <c r="CS247" s="182">
        <f t="shared" si="898"/>
        <v>0</v>
      </c>
      <c r="CT247" s="182"/>
      <c r="CU247" s="182">
        <f t="shared" si="899"/>
        <v>0</v>
      </c>
      <c r="CV247" s="182">
        <v>7</v>
      </c>
      <c r="CW247" s="182">
        <v>186291.21</v>
      </c>
      <c r="CX247" s="182"/>
      <c r="CY247" s="182">
        <f t="shared" si="885"/>
        <v>0</v>
      </c>
      <c r="CZ247" s="182"/>
      <c r="DA247" s="182">
        <v>0</v>
      </c>
      <c r="DB247" s="188">
        <v>132</v>
      </c>
      <c r="DC247" s="182">
        <f t="shared" si="886"/>
        <v>3161628.1065599998</v>
      </c>
      <c r="DD247" s="182"/>
      <c r="DE247" s="187">
        <f t="shared" si="887"/>
        <v>0</v>
      </c>
      <c r="DF247" s="182"/>
      <c r="DG247" s="182">
        <f t="shared" si="888"/>
        <v>0</v>
      </c>
      <c r="DH247" s="189"/>
      <c r="DI247" s="182">
        <f t="shared" si="889"/>
        <v>0</v>
      </c>
      <c r="DJ247" s="182"/>
      <c r="DK247" s="182">
        <f t="shared" si="900"/>
        <v>0</v>
      </c>
      <c r="DL247" s="182">
        <f>ROUND(5*0.75,0)</f>
        <v>4</v>
      </c>
      <c r="DM247" s="182">
        <f t="shared" si="891"/>
        <v>141302.52280000001</v>
      </c>
      <c r="DN247" s="182">
        <f>ROUND(3*0.75,0)</f>
        <v>2</v>
      </c>
      <c r="DO247" s="190">
        <f t="shared" si="892"/>
        <v>81423.20259999999</v>
      </c>
      <c r="DP247" s="187"/>
      <c r="DQ247" s="187"/>
      <c r="DR247" s="183">
        <f t="shared" si="893"/>
        <v>225</v>
      </c>
      <c r="DS247" s="183">
        <f t="shared" si="893"/>
        <v>5601522.3562352639</v>
      </c>
      <c r="DT247" s="182">
        <v>225</v>
      </c>
      <c r="DU247" s="182">
        <v>5585695.0543200001</v>
      </c>
      <c r="DV247" s="167">
        <f t="shared" si="817"/>
        <v>0</v>
      </c>
      <c r="DW247" s="167">
        <f t="shared" si="817"/>
        <v>15827.301915263757</v>
      </c>
    </row>
    <row r="248" spans="1:127" ht="57.75" customHeight="1" x14ac:dyDescent="0.25">
      <c r="A248" s="154"/>
      <c r="B248" s="176">
        <v>213</v>
      </c>
      <c r="C248" s="177" t="s">
        <v>580</v>
      </c>
      <c r="D248" s="210" t="s">
        <v>581</v>
      </c>
      <c r="E248" s="158">
        <v>25969</v>
      </c>
      <c r="F248" s="179">
        <v>0.71</v>
      </c>
      <c r="G248" s="168">
        <v>1</v>
      </c>
      <c r="H248" s="169"/>
      <c r="I248" s="169"/>
      <c r="J248" s="169"/>
      <c r="K248" s="106"/>
      <c r="L248" s="180">
        <v>1.4</v>
      </c>
      <c r="M248" s="180">
        <v>1.68</v>
      </c>
      <c r="N248" s="180">
        <v>2.23</v>
      </c>
      <c r="O248" s="181">
        <v>2.57</v>
      </c>
      <c r="P248" s="182">
        <v>120</v>
      </c>
      <c r="Q248" s="182">
        <f t="shared" si="850"/>
        <v>3407340.5519999997</v>
      </c>
      <c r="R248" s="182"/>
      <c r="S248" s="182">
        <f t="shared" si="851"/>
        <v>0</v>
      </c>
      <c r="T248" s="182">
        <v>12</v>
      </c>
      <c r="U248" s="182">
        <f t="shared" si="852"/>
        <v>391069.76789999998</v>
      </c>
      <c r="V248" s="182"/>
      <c r="W248" s="183">
        <f t="shared" si="853"/>
        <v>0</v>
      </c>
      <c r="X248" s="183"/>
      <c r="Y248" s="183">
        <v>0</v>
      </c>
      <c r="Z248" s="183"/>
      <c r="AA248" s="183">
        <v>0</v>
      </c>
      <c r="AB248" s="182">
        <f t="shared" si="854"/>
        <v>0</v>
      </c>
      <c r="AC248" s="182">
        <f t="shared" si="854"/>
        <v>0</v>
      </c>
      <c r="AD248" s="182"/>
      <c r="AE248" s="182">
        <f t="shared" si="855"/>
        <v>0</v>
      </c>
      <c r="AF248" s="182"/>
      <c r="AG248" s="182"/>
      <c r="AH248" s="182"/>
      <c r="AI248" s="182">
        <f t="shared" si="856"/>
        <v>0</v>
      </c>
      <c r="AJ248" s="182"/>
      <c r="AK248" s="182"/>
      <c r="AL248" s="182"/>
      <c r="AM248" s="182"/>
      <c r="AN248" s="205">
        <v>36</v>
      </c>
      <c r="AO248" s="182">
        <v>894426.75</v>
      </c>
      <c r="AP248" s="182"/>
      <c r="AQ248" s="183">
        <f t="shared" si="857"/>
        <v>0</v>
      </c>
      <c r="AR248" s="182"/>
      <c r="AS248" s="182">
        <f t="shared" si="858"/>
        <v>0</v>
      </c>
      <c r="AT248" s="182"/>
      <c r="AU248" s="182">
        <f t="shared" si="859"/>
        <v>0</v>
      </c>
      <c r="AV248" s="188"/>
      <c r="AW248" s="182">
        <f t="shared" si="860"/>
        <v>0</v>
      </c>
      <c r="AX248" s="182">
        <v>8</v>
      </c>
      <c r="AY248" s="187">
        <f t="shared" si="861"/>
        <v>272587.24416</v>
      </c>
      <c r="AZ248" s="182"/>
      <c r="BA248" s="182">
        <f t="shared" si="862"/>
        <v>0</v>
      </c>
      <c r="BB248" s="182"/>
      <c r="BC248" s="182">
        <f t="shared" si="863"/>
        <v>0</v>
      </c>
      <c r="BD248" s="182"/>
      <c r="BE248" s="182">
        <f t="shared" si="864"/>
        <v>0</v>
      </c>
      <c r="BF248" s="182"/>
      <c r="BG248" s="182">
        <f t="shared" si="865"/>
        <v>0</v>
      </c>
      <c r="BH248" s="182"/>
      <c r="BI248" s="183">
        <f t="shared" si="866"/>
        <v>0</v>
      </c>
      <c r="BJ248" s="182"/>
      <c r="BK248" s="183">
        <f t="shared" si="867"/>
        <v>0</v>
      </c>
      <c r="BL248" s="182"/>
      <c r="BM248" s="182">
        <f t="shared" si="868"/>
        <v>0</v>
      </c>
      <c r="BN248" s="182">
        <v>5</v>
      </c>
      <c r="BO248" s="182">
        <f t="shared" si="869"/>
        <v>170367.0276</v>
      </c>
      <c r="BP248" s="182"/>
      <c r="BQ248" s="182">
        <f t="shared" si="870"/>
        <v>0</v>
      </c>
      <c r="BR248" s="182"/>
      <c r="BS248" s="183">
        <f t="shared" si="871"/>
        <v>0</v>
      </c>
      <c r="BT248" s="182">
        <v>6</v>
      </c>
      <c r="BU248" s="182">
        <f t="shared" si="895"/>
        <v>207042.65007538558</v>
      </c>
      <c r="BV248" s="182">
        <v>3</v>
      </c>
      <c r="BW248" s="182">
        <f t="shared" si="873"/>
        <v>83634.722639999993</v>
      </c>
      <c r="BX248" s="182">
        <v>5</v>
      </c>
      <c r="BY248" s="183">
        <f t="shared" si="896"/>
        <v>208882.36616687998</v>
      </c>
      <c r="BZ248" s="182">
        <v>10</v>
      </c>
      <c r="CA248" s="187">
        <f t="shared" si="897"/>
        <v>404830.77735659992</v>
      </c>
      <c r="CB248" s="182">
        <v>25</v>
      </c>
      <c r="CC248" s="182">
        <f>(CB248*$E248*$F248*$G248*$L248*$CC$12)/12*11+(CB248*$E248*$F248*$G248*$L248*$CC$12*$CC$15)/12</f>
        <v>766726.91265916661</v>
      </c>
      <c r="CD248" s="182"/>
      <c r="CE248" s="182">
        <f t="shared" si="877"/>
        <v>0</v>
      </c>
      <c r="CF248" s="182"/>
      <c r="CG248" s="182">
        <f t="shared" si="878"/>
        <v>0</v>
      </c>
      <c r="CH248" s="182">
        <v>2</v>
      </c>
      <c r="CI248" s="182">
        <f t="shared" ref="CI248" si="902">(CH248*$E248*$F248*$G248*$M248*$CI$12)/12*11+(CH248*$E248*$F248*$G248*$M248*$CI$12*$CI$15)/12</f>
        <v>69041.083055783994</v>
      </c>
      <c r="CJ248" s="182"/>
      <c r="CK248" s="182"/>
      <c r="CL248" s="182"/>
      <c r="CM248" s="183">
        <f t="shared" si="880"/>
        <v>0</v>
      </c>
      <c r="CN248" s="182"/>
      <c r="CO248" s="183">
        <f t="shared" si="881"/>
        <v>0</v>
      </c>
      <c r="CP248" s="182"/>
      <c r="CQ248" s="182">
        <f t="shared" si="882"/>
        <v>0</v>
      </c>
      <c r="CR248" s="182">
        <v>1</v>
      </c>
      <c r="CS248" s="182">
        <f t="shared" si="898"/>
        <v>30946.611277843327</v>
      </c>
      <c r="CT248" s="182">
        <v>8</v>
      </c>
      <c r="CU248" s="182">
        <f t="shared" si="899"/>
        <v>216787.39624751997</v>
      </c>
      <c r="CV248" s="182">
        <v>14</v>
      </c>
      <c r="CW248" s="182">
        <v>433661.48000000004</v>
      </c>
      <c r="CX248" s="182"/>
      <c r="CY248" s="182">
        <f t="shared" si="885"/>
        <v>0</v>
      </c>
      <c r="CZ248" s="182"/>
      <c r="DA248" s="182">
        <v>0</v>
      </c>
      <c r="DB248" s="188">
        <v>132</v>
      </c>
      <c r="DC248" s="182">
        <f t="shared" si="886"/>
        <v>3679927.7961599994</v>
      </c>
      <c r="DD248" s="182"/>
      <c r="DE248" s="187">
        <f t="shared" si="887"/>
        <v>0</v>
      </c>
      <c r="DF248" s="182"/>
      <c r="DG248" s="182">
        <f t="shared" si="888"/>
        <v>0</v>
      </c>
      <c r="DH248" s="189"/>
      <c r="DI248" s="182">
        <f t="shared" si="889"/>
        <v>0</v>
      </c>
      <c r="DJ248" s="182">
        <v>1</v>
      </c>
      <c r="DK248" s="182">
        <f t="shared" si="900"/>
        <v>33754.096409179991</v>
      </c>
      <c r="DL248" s="182"/>
      <c r="DM248" s="182">
        <f t="shared" si="891"/>
        <v>0</v>
      </c>
      <c r="DN248" s="182">
        <f>ROUND(2*0.75,0)</f>
        <v>2</v>
      </c>
      <c r="DO248" s="190">
        <f t="shared" si="892"/>
        <v>94771.268599999981</v>
      </c>
      <c r="DP248" s="187"/>
      <c r="DQ248" s="187"/>
      <c r="DR248" s="183">
        <f t="shared" si="893"/>
        <v>390</v>
      </c>
      <c r="DS248" s="183">
        <f t="shared" si="893"/>
        <v>11365798.502308359</v>
      </c>
      <c r="DT248" s="182">
        <v>390</v>
      </c>
      <c r="DU248" s="182">
        <v>11144965.785733333</v>
      </c>
      <c r="DV248" s="167">
        <f t="shared" si="817"/>
        <v>0</v>
      </c>
      <c r="DW248" s="167">
        <f t="shared" si="817"/>
        <v>220832.71657502651</v>
      </c>
    </row>
    <row r="249" spans="1:127" ht="45" x14ac:dyDescent="0.25">
      <c r="A249" s="154"/>
      <c r="B249" s="176">
        <v>214</v>
      </c>
      <c r="C249" s="177" t="s">
        <v>582</v>
      </c>
      <c r="D249" s="210" t="s">
        <v>583</v>
      </c>
      <c r="E249" s="158">
        <v>25969</v>
      </c>
      <c r="F249" s="179">
        <v>0.84</v>
      </c>
      <c r="G249" s="243">
        <v>1</v>
      </c>
      <c r="H249" s="242"/>
      <c r="I249" s="242"/>
      <c r="J249" s="242"/>
      <c r="K249" s="106"/>
      <c r="L249" s="180">
        <v>1.4</v>
      </c>
      <c r="M249" s="180">
        <v>1.68</v>
      </c>
      <c r="N249" s="180">
        <v>2.23</v>
      </c>
      <c r="O249" s="181">
        <v>2.57</v>
      </c>
      <c r="P249" s="182">
        <v>404</v>
      </c>
      <c r="Q249" s="182">
        <f t="shared" si="850"/>
        <v>13571773.353599999</v>
      </c>
      <c r="R249" s="182"/>
      <c r="S249" s="182">
        <f t="shared" si="851"/>
        <v>0</v>
      </c>
      <c r="T249" s="182"/>
      <c r="U249" s="182">
        <f t="shared" si="852"/>
        <v>0</v>
      </c>
      <c r="V249" s="182"/>
      <c r="W249" s="183">
        <f t="shared" si="853"/>
        <v>0</v>
      </c>
      <c r="X249" s="183"/>
      <c r="Y249" s="183">
        <v>0</v>
      </c>
      <c r="Z249" s="183"/>
      <c r="AA249" s="183">
        <v>0</v>
      </c>
      <c r="AB249" s="182">
        <f t="shared" si="854"/>
        <v>0</v>
      </c>
      <c r="AC249" s="182">
        <f t="shared" si="854"/>
        <v>0</v>
      </c>
      <c r="AD249" s="182"/>
      <c r="AE249" s="182">
        <f t="shared" si="855"/>
        <v>0</v>
      </c>
      <c r="AF249" s="182"/>
      <c r="AG249" s="182"/>
      <c r="AH249" s="182"/>
      <c r="AI249" s="182">
        <f t="shared" si="856"/>
        <v>0</v>
      </c>
      <c r="AJ249" s="182"/>
      <c r="AK249" s="182"/>
      <c r="AL249" s="182"/>
      <c r="AM249" s="182"/>
      <c r="AN249" s="205">
        <v>128</v>
      </c>
      <c r="AO249" s="182">
        <f t="shared" si="901"/>
        <v>4299967.7952000005</v>
      </c>
      <c r="AP249" s="182"/>
      <c r="AQ249" s="183">
        <f t="shared" si="857"/>
        <v>0</v>
      </c>
      <c r="AR249" s="182"/>
      <c r="AS249" s="182">
        <f t="shared" si="858"/>
        <v>0</v>
      </c>
      <c r="AT249" s="182"/>
      <c r="AU249" s="182">
        <f t="shared" si="859"/>
        <v>0</v>
      </c>
      <c r="AV249" s="188"/>
      <c r="AW249" s="182">
        <f t="shared" si="860"/>
        <v>0</v>
      </c>
      <c r="AX249" s="182">
        <v>3</v>
      </c>
      <c r="AY249" s="187">
        <f t="shared" si="861"/>
        <v>120936.59424000001</v>
      </c>
      <c r="AZ249" s="182"/>
      <c r="BA249" s="182">
        <f t="shared" si="862"/>
        <v>0</v>
      </c>
      <c r="BB249" s="182"/>
      <c r="BC249" s="182">
        <f t="shared" si="863"/>
        <v>0</v>
      </c>
      <c r="BD249" s="182"/>
      <c r="BE249" s="182">
        <f t="shared" si="864"/>
        <v>0</v>
      </c>
      <c r="BF249" s="182"/>
      <c r="BG249" s="182">
        <f t="shared" si="865"/>
        <v>0</v>
      </c>
      <c r="BH249" s="182"/>
      <c r="BI249" s="183">
        <f t="shared" si="866"/>
        <v>0</v>
      </c>
      <c r="BJ249" s="182"/>
      <c r="BK249" s="183">
        <f t="shared" si="867"/>
        <v>0</v>
      </c>
      <c r="BL249" s="182"/>
      <c r="BM249" s="182">
        <f t="shared" si="868"/>
        <v>0</v>
      </c>
      <c r="BN249" s="182">
        <v>1</v>
      </c>
      <c r="BO249" s="182">
        <f t="shared" si="869"/>
        <v>40312.198080000002</v>
      </c>
      <c r="BP249" s="182"/>
      <c r="BQ249" s="182">
        <f t="shared" si="870"/>
        <v>0</v>
      </c>
      <c r="BR249" s="182"/>
      <c r="BS249" s="183">
        <f t="shared" si="871"/>
        <v>0</v>
      </c>
      <c r="BT249" s="182"/>
      <c r="BU249" s="182">
        <f t="shared" si="872"/>
        <v>0</v>
      </c>
      <c r="BV249" s="182"/>
      <c r="BW249" s="182">
        <f t="shared" si="873"/>
        <v>0</v>
      </c>
      <c r="BX249" s="182"/>
      <c r="BY249" s="183">
        <f t="shared" si="896"/>
        <v>0</v>
      </c>
      <c r="BZ249" s="182"/>
      <c r="CA249" s="187">
        <f t="shared" si="897"/>
        <v>0</v>
      </c>
      <c r="CB249" s="182"/>
      <c r="CC249" s="182">
        <f t="shared" si="876"/>
        <v>0</v>
      </c>
      <c r="CD249" s="182"/>
      <c r="CE249" s="182">
        <f t="shared" si="877"/>
        <v>0</v>
      </c>
      <c r="CF249" s="182"/>
      <c r="CG249" s="182">
        <f t="shared" si="878"/>
        <v>0</v>
      </c>
      <c r="CH249" s="182"/>
      <c r="CI249" s="182">
        <f t="shared" si="879"/>
        <v>0</v>
      </c>
      <c r="CJ249" s="182"/>
      <c r="CK249" s="182"/>
      <c r="CL249" s="182"/>
      <c r="CM249" s="183">
        <f t="shared" si="880"/>
        <v>0</v>
      </c>
      <c r="CN249" s="182"/>
      <c r="CO249" s="183">
        <f t="shared" si="881"/>
        <v>0</v>
      </c>
      <c r="CP249" s="182"/>
      <c r="CQ249" s="182">
        <f t="shared" si="882"/>
        <v>0</v>
      </c>
      <c r="CR249" s="182"/>
      <c r="CS249" s="182">
        <f t="shared" si="883"/>
        <v>0</v>
      </c>
      <c r="CT249" s="182"/>
      <c r="CU249" s="182">
        <f t="shared" si="884"/>
        <v>0</v>
      </c>
      <c r="CV249" s="182">
        <v>2</v>
      </c>
      <c r="CW249" s="182">
        <v>73294.899999999994</v>
      </c>
      <c r="CX249" s="182">
        <v>3</v>
      </c>
      <c r="CY249" s="182">
        <f t="shared" ref="CY249:CY250" si="903">(CX249/12*11*$E249*$F249*$G249*$M249*$CY$12)+(CX249/12*$E249*$F249*$G249*$M249*$CY$15*$CY$12)</f>
        <v>118648.69376169599</v>
      </c>
      <c r="CZ249" s="182"/>
      <c r="DA249" s="182">
        <v>0</v>
      </c>
      <c r="DB249" s="188">
        <v>212</v>
      </c>
      <c r="DC249" s="182">
        <f t="shared" si="886"/>
        <v>6992333.994239999</v>
      </c>
      <c r="DD249" s="182"/>
      <c r="DE249" s="187">
        <f t="shared" si="887"/>
        <v>0</v>
      </c>
      <c r="DF249" s="182"/>
      <c r="DG249" s="182">
        <f t="shared" si="888"/>
        <v>0</v>
      </c>
      <c r="DH249" s="189"/>
      <c r="DI249" s="182">
        <f t="shared" si="889"/>
        <v>0</v>
      </c>
      <c r="DJ249" s="182"/>
      <c r="DK249" s="182">
        <f t="shared" si="900"/>
        <v>0</v>
      </c>
      <c r="DL249" s="182"/>
      <c r="DM249" s="182">
        <f t="shared" si="891"/>
        <v>0</v>
      </c>
      <c r="DN249" s="182">
        <f>ROUND(1*0.75,0)</f>
        <v>1</v>
      </c>
      <c r="DO249" s="190">
        <f t="shared" si="892"/>
        <v>56061.877199999995</v>
      </c>
      <c r="DP249" s="187"/>
      <c r="DQ249" s="187"/>
      <c r="DR249" s="183">
        <f t="shared" si="893"/>
        <v>754</v>
      </c>
      <c r="DS249" s="183">
        <f t="shared" si="893"/>
        <v>25273329.406321689</v>
      </c>
      <c r="DT249" s="182">
        <v>754</v>
      </c>
      <c r="DU249" s="182">
        <v>25264623.070959993</v>
      </c>
      <c r="DV249" s="167">
        <f t="shared" si="817"/>
        <v>0</v>
      </c>
      <c r="DW249" s="167">
        <f t="shared" si="817"/>
        <v>8706.3353616967797</v>
      </c>
    </row>
    <row r="250" spans="1:127" ht="45" x14ac:dyDescent="0.25">
      <c r="A250" s="154"/>
      <c r="B250" s="176">
        <v>215</v>
      </c>
      <c r="C250" s="177" t="s">
        <v>584</v>
      </c>
      <c r="D250" s="210" t="s">
        <v>585</v>
      </c>
      <c r="E250" s="158">
        <v>25969</v>
      </c>
      <c r="F250" s="179">
        <v>0.91</v>
      </c>
      <c r="G250" s="243">
        <v>1</v>
      </c>
      <c r="H250" s="242"/>
      <c r="I250" s="242"/>
      <c r="J250" s="242"/>
      <c r="K250" s="106"/>
      <c r="L250" s="180">
        <v>1.4</v>
      </c>
      <c r="M250" s="180">
        <v>1.68</v>
      </c>
      <c r="N250" s="180">
        <v>2.23</v>
      </c>
      <c r="O250" s="181">
        <v>2.57</v>
      </c>
      <c r="P250" s="182">
        <v>444</v>
      </c>
      <c r="Q250" s="182">
        <f t="shared" si="850"/>
        <v>16158472.7304</v>
      </c>
      <c r="R250" s="182">
        <v>12</v>
      </c>
      <c r="S250" s="182">
        <f t="shared" si="851"/>
        <v>436715.47919999994</v>
      </c>
      <c r="T250" s="182"/>
      <c r="U250" s="182">
        <f t="shared" si="852"/>
        <v>0</v>
      </c>
      <c r="V250" s="182"/>
      <c r="W250" s="183">
        <f t="shared" si="853"/>
        <v>0</v>
      </c>
      <c r="X250" s="183"/>
      <c r="Y250" s="183">
        <v>0</v>
      </c>
      <c r="Z250" s="183">
        <v>0</v>
      </c>
      <c r="AA250" s="183">
        <v>0</v>
      </c>
      <c r="AB250" s="182">
        <f t="shared" si="854"/>
        <v>0</v>
      </c>
      <c r="AC250" s="182">
        <f t="shared" si="854"/>
        <v>0</v>
      </c>
      <c r="AD250" s="182"/>
      <c r="AE250" s="182">
        <f t="shared" si="855"/>
        <v>0</v>
      </c>
      <c r="AF250" s="182"/>
      <c r="AG250" s="182"/>
      <c r="AH250" s="182"/>
      <c r="AI250" s="182">
        <f t="shared" si="856"/>
        <v>0</v>
      </c>
      <c r="AJ250" s="182"/>
      <c r="AK250" s="182"/>
      <c r="AL250" s="182"/>
      <c r="AM250" s="182"/>
      <c r="AN250" s="205">
        <v>85</v>
      </c>
      <c r="AO250" s="182">
        <f t="shared" si="901"/>
        <v>3093401.3110000007</v>
      </c>
      <c r="AP250" s="182"/>
      <c r="AQ250" s="183">
        <f t="shared" si="857"/>
        <v>0</v>
      </c>
      <c r="AR250" s="182"/>
      <c r="AS250" s="182">
        <f t="shared" si="858"/>
        <v>0</v>
      </c>
      <c r="AT250" s="182"/>
      <c r="AU250" s="182">
        <f t="shared" si="859"/>
        <v>0</v>
      </c>
      <c r="AV250" s="188">
        <v>1</v>
      </c>
      <c r="AW250" s="182">
        <v>55581.97</v>
      </c>
      <c r="AX250" s="182">
        <v>1</v>
      </c>
      <c r="AY250" s="187">
        <f t="shared" si="861"/>
        <v>43671.547920000005</v>
      </c>
      <c r="AZ250" s="182"/>
      <c r="BA250" s="182">
        <f t="shared" si="862"/>
        <v>0</v>
      </c>
      <c r="BB250" s="182"/>
      <c r="BC250" s="182">
        <f t="shared" si="863"/>
        <v>0</v>
      </c>
      <c r="BD250" s="182"/>
      <c r="BE250" s="182">
        <f t="shared" si="864"/>
        <v>0</v>
      </c>
      <c r="BF250" s="182"/>
      <c r="BG250" s="182">
        <f t="shared" si="865"/>
        <v>0</v>
      </c>
      <c r="BH250" s="182"/>
      <c r="BI250" s="183">
        <f t="shared" si="866"/>
        <v>0</v>
      </c>
      <c r="BJ250" s="182"/>
      <c r="BK250" s="183">
        <f t="shared" si="867"/>
        <v>0</v>
      </c>
      <c r="BL250" s="182"/>
      <c r="BM250" s="182">
        <f t="shared" si="868"/>
        <v>0</v>
      </c>
      <c r="BN250" s="182">
        <v>4</v>
      </c>
      <c r="BO250" s="182">
        <f t="shared" si="869"/>
        <v>174686.19168000002</v>
      </c>
      <c r="BP250" s="182"/>
      <c r="BQ250" s="182">
        <f t="shared" si="870"/>
        <v>0</v>
      </c>
      <c r="BR250" s="182"/>
      <c r="BS250" s="183">
        <f t="shared" si="871"/>
        <v>0</v>
      </c>
      <c r="BT250" s="182"/>
      <c r="BU250" s="182">
        <f t="shared" si="872"/>
        <v>0</v>
      </c>
      <c r="BV250" s="182"/>
      <c r="BW250" s="182">
        <f t="shared" si="873"/>
        <v>0</v>
      </c>
      <c r="BX250" s="182">
        <v>3</v>
      </c>
      <c r="BY250" s="183">
        <f t="shared" si="896"/>
        <v>160633.481587488</v>
      </c>
      <c r="BZ250" s="182">
        <v>7</v>
      </c>
      <c r="CA250" s="187">
        <f t="shared" si="897"/>
        <v>363207.33123402001</v>
      </c>
      <c r="CB250" s="182"/>
      <c r="CC250" s="182">
        <f t="shared" si="876"/>
        <v>0</v>
      </c>
      <c r="CD250" s="182"/>
      <c r="CE250" s="182">
        <f t="shared" si="877"/>
        <v>0</v>
      </c>
      <c r="CF250" s="182"/>
      <c r="CG250" s="182">
        <f t="shared" si="878"/>
        <v>0</v>
      </c>
      <c r="CH250" s="182"/>
      <c r="CI250" s="182">
        <f t="shared" si="879"/>
        <v>0</v>
      </c>
      <c r="CJ250" s="182"/>
      <c r="CK250" s="182"/>
      <c r="CL250" s="182"/>
      <c r="CM250" s="183">
        <f t="shared" si="880"/>
        <v>0</v>
      </c>
      <c r="CN250" s="182"/>
      <c r="CO250" s="183">
        <f t="shared" si="881"/>
        <v>0</v>
      </c>
      <c r="CP250" s="182"/>
      <c r="CQ250" s="182">
        <f t="shared" si="882"/>
        <v>0</v>
      </c>
      <c r="CR250" s="182"/>
      <c r="CS250" s="182">
        <f t="shared" si="883"/>
        <v>0</v>
      </c>
      <c r="CT250" s="182"/>
      <c r="CU250" s="182">
        <f t="shared" si="884"/>
        <v>0</v>
      </c>
      <c r="CV250" s="182">
        <v>9</v>
      </c>
      <c r="CW250" s="182">
        <v>357312.69000000006</v>
      </c>
      <c r="CX250" s="182">
        <v>3</v>
      </c>
      <c r="CY250" s="182">
        <f t="shared" si="903"/>
        <v>128536.08490850401</v>
      </c>
      <c r="CZ250" s="182"/>
      <c r="DA250" s="182">
        <v>0</v>
      </c>
      <c r="DB250" s="188">
        <v>265</v>
      </c>
      <c r="DC250" s="182">
        <f t="shared" si="886"/>
        <v>9468785.6172000002</v>
      </c>
      <c r="DD250" s="182"/>
      <c r="DE250" s="187">
        <f t="shared" si="887"/>
        <v>0</v>
      </c>
      <c r="DF250" s="182"/>
      <c r="DG250" s="182">
        <f t="shared" si="888"/>
        <v>0</v>
      </c>
      <c r="DH250" s="189">
        <f>ROUND(1*0.75,0)</f>
        <v>1</v>
      </c>
      <c r="DI250" s="182">
        <f>(DH250*$E250*$F250*$G250*$M250*$DI$12)</f>
        <v>39701.407200000001</v>
      </c>
      <c r="DJ250" s="182"/>
      <c r="DK250" s="182">
        <f t="shared" si="890"/>
        <v>0</v>
      </c>
      <c r="DL250" s="182"/>
      <c r="DM250" s="182">
        <f t="shared" si="891"/>
        <v>0</v>
      </c>
      <c r="DN250" s="182"/>
      <c r="DO250" s="190">
        <f t="shared" si="892"/>
        <v>0</v>
      </c>
      <c r="DP250" s="187"/>
      <c r="DQ250" s="187"/>
      <c r="DR250" s="183">
        <f t="shared" si="893"/>
        <v>835</v>
      </c>
      <c r="DS250" s="183">
        <f t="shared" si="893"/>
        <v>30480705.842330009</v>
      </c>
      <c r="DT250" s="182">
        <v>828</v>
      </c>
      <c r="DU250" s="182">
        <v>30188288.369960003</v>
      </c>
      <c r="DV250" s="167">
        <f t="shared" si="817"/>
        <v>7</v>
      </c>
      <c r="DW250" s="167">
        <f t="shared" si="817"/>
        <v>292417.47237000614</v>
      </c>
    </row>
    <row r="251" spans="1:127" ht="45" x14ac:dyDescent="0.25">
      <c r="A251" s="154"/>
      <c r="B251" s="176">
        <v>216</v>
      </c>
      <c r="C251" s="177" t="s">
        <v>586</v>
      </c>
      <c r="D251" s="210" t="s">
        <v>587</v>
      </c>
      <c r="E251" s="158">
        <v>25969</v>
      </c>
      <c r="F251" s="168">
        <v>1.1000000000000001</v>
      </c>
      <c r="G251" s="243">
        <v>1</v>
      </c>
      <c r="H251" s="242"/>
      <c r="I251" s="242"/>
      <c r="J251" s="242"/>
      <c r="K251" s="106"/>
      <c r="L251" s="180">
        <v>1.4</v>
      </c>
      <c r="M251" s="180">
        <v>1.68</v>
      </c>
      <c r="N251" s="180">
        <v>2.23</v>
      </c>
      <c r="O251" s="181">
        <v>2.57</v>
      </c>
      <c r="P251" s="182">
        <v>78</v>
      </c>
      <c r="Q251" s="182">
        <f t="shared" si="850"/>
        <v>3431335.9080000008</v>
      </c>
      <c r="R251" s="182"/>
      <c r="S251" s="182">
        <f t="shared" si="851"/>
        <v>0</v>
      </c>
      <c r="T251" s="182"/>
      <c r="U251" s="182">
        <f t="shared" si="852"/>
        <v>0</v>
      </c>
      <c r="V251" s="182"/>
      <c r="W251" s="183">
        <f t="shared" si="853"/>
        <v>0</v>
      </c>
      <c r="X251" s="183"/>
      <c r="Y251" s="183">
        <v>0</v>
      </c>
      <c r="Z251" s="183"/>
      <c r="AA251" s="183">
        <v>0</v>
      </c>
      <c r="AB251" s="182">
        <f t="shared" si="854"/>
        <v>0</v>
      </c>
      <c r="AC251" s="182">
        <f t="shared" si="854"/>
        <v>0</v>
      </c>
      <c r="AD251" s="182"/>
      <c r="AE251" s="182">
        <f t="shared" si="855"/>
        <v>0</v>
      </c>
      <c r="AF251" s="182"/>
      <c r="AG251" s="182"/>
      <c r="AH251" s="182"/>
      <c r="AI251" s="182">
        <f t="shared" si="856"/>
        <v>0</v>
      </c>
      <c r="AJ251" s="182"/>
      <c r="AK251" s="182"/>
      <c r="AL251" s="182"/>
      <c r="AM251" s="182"/>
      <c r="AN251" s="205">
        <v>10</v>
      </c>
      <c r="AO251" s="182">
        <f t="shared" si="901"/>
        <v>439914.86</v>
      </c>
      <c r="AP251" s="182"/>
      <c r="AQ251" s="183">
        <f t="shared" si="857"/>
        <v>0</v>
      </c>
      <c r="AR251" s="182"/>
      <c r="AS251" s="182">
        <f t="shared" si="858"/>
        <v>0</v>
      </c>
      <c r="AT251" s="182"/>
      <c r="AU251" s="182">
        <f t="shared" si="859"/>
        <v>0</v>
      </c>
      <c r="AV251" s="188"/>
      <c r="AW251" s="182">
        <f t="shared" si="860"/>
        <v>0</v>
      </c>
      <c r="AX251" s="182">
        <v>1</v>
      </c>
      <c r="AY251" s="187">
        <f t="shared" si="861"/>
        <v>52789.783200000005</v>
      </c>
      <c r="AZ251" s="182"/>
      <c r="BA251" s="182">
        <f t="shared" si="862"/>
        <v>0</v>
      </c>
      <c r="BB251" s="182"/>
      <c r="BC251" s="182">
        <f t="shared" si="863"/>
        <v>0</v>
      </c>
      <c r="BD251" s="182"/>
      <c r="BE251" s="182">
        <f t="shared" si="864"/>
        <v>0</v>
      </c>
      <c r="BF251" s="182"/>
      <c r="BG251" s="182">
        <f t="shared" si="865"/>
        <v>0</v>
      </c>
      <c r="BH251" s="182"/>
      <c r="BI251" s="183">
        <f t="shared" si="866"/>
        <v>0</v>
      </c>
      <c r="BJ251" s="182"/>
      <c r="BK251" s="183">
        <f t="shared" si="867"/>
        <v>0</v>
      </c>
      <c r="BL251" s="182"/>
      <c r="BM251" s="182">
        <f t="shared" si="868"/>
        <v>0</v>
      </c>
      <c r="BN251" s="182">
        <v>2</v>
      </c>
      <c r="BO251" s="182">
        <f t="shared" si="869"/>
        <v>105579.56640000001</v>
      </c>
      <c r="BP251" s="182"/>
      <c r="BQ251" s="182">
        <f t="shared" si="870"/>
        <v>0</v>
      </c>
      <c r="BR251" s="182"/>
      <c r="BS251" s="183">
        <f t="shared" si="871"/>
        <v>0</v>
      </c>
      <c r="BT251" s="182"/>
      <c r="BU251" s="182">
        <f t="shared" si="872"/>
        <v>0</v>
      </c>
      <c r="BV251" s="182"/>
      <c r="BW251" s="182">
        <f t="shared" si="873"/>
        <v>0</v>
      </c>
      <c r="BX251" s="182"/>
      <c r="BY251" s="183">
        <f t="shared" si="874"/>
        <v>0</v>
      </c>
      <c r="BZ251" s="182"/>
      <c r="CA251" s="187">
        <f t="shared" si="875"/>
        <v>0</v>
      </c>
      <c r="CB251" s="182"/>
      <c r="CC251" s="182">
        <f t="shared" si="876"/>
        <v>0</v>
      </c>
      <c r="CD251" s="182"/>
      <c r="CE251" s="182">
        <f t="shared" si="877"/>
        <v>0</v>
      </c>
      <c r="CF251" s="182"/>
      <c r="CG251" s="182">
        <f t="shared" si="878"/>
        <v>0</v>
      </c>
      <c r="CH251" s="182"/>
      <c r="CI251" s="182">
        <f t="shared" si="879"/>
        <v>0</v>
      </c>
      <c r="CJ251" s="182"/>
      <c r="CK251" s="182"/>
      <c r="CL251" s="182"/>
      <c r="CM251" s="183">
        <f t="shared" si="880"/>
        <v>0</v>
      </c>
      <c r="CN251" s="182"/>
      <c r="CO251" s="183">
        <f t="shared" si="881"/>
        <v>0</v>
      </c>
      <c r="CP251" s="182"/>
      <c r="CQ251" s="182">
        <f t="shared" si="882"/>
        <v>0</v>
      </c>
      <c r="CR251" s="182"/>
      <c r="CS251" s="182">
        <f t="shared" si="883"/>
        <v>0</v>
      </c>
      <c r="CT251" s="182"/>
      <c r="CU251" s="182">
        <f t="shared" si="884"/>
        <v>0</v>
      </c>
      <c r="CV251" s="182">
        <v>5</v>
      </c>
      <c r="CW251" s="182">
        <v>239953.55</v>
      </c>
      <c r="CX251" s="182"/>
      <c r="CY251" s="182">
        <f t="shared" si="885"/>
        <v>0</v>
      </c>
      <c r="CZ251" s="182"/>
      <c r="DA251" s="182">
        <v>0</v>
      </c>
      <c r="DB251" s="188">
        <v>81</v>
      </c>
      <c r="DC251" s="182">
        <f t="shared" si="886"/>
        <v>3498522.9048000001</v>
      </c>
      <c r="DD251" s="182"/>
      <c r="DE251" s="187">
        <f t="shared" si="887"/>
        <v>0</v>
      </c>
      <c r="DF251" s="182"/>
      <c r="DG251" s="182">
        <f t="shared" si="888"/>
        <v>0</v>
      </c>
      <c r="DH251" s="189"/>
      <c r="DI251" s="182">
        <f t="shared" si="889"/>
        <v>0</v>
      </c>
      <c r="DJ251" s="182"/>
      <c r="DK251" s="182">
        <f t="shared" si="890"/>
        <v>0</v>
      </c>
      <c r="DL251" s="182"/>
      <c r="DM251" s="182">
        <f t="shared" si="891"/>
        <v>0</v>
      </c>
      <c r="DN251" s="182"/>
      <c r="DO251" s="190">
        <f t="shared" si="892"/>
        <v>0</v>
      </c>
      <c r="DP251" s="187"/>
      <c r="DQ251" s="187"/>
      <c r="DR251" s="183">
        <f t="shared" si="893"/>
        <v>177</v>
      </c>
      <c r="DS251" s="183">
        <f t="shared" si="893"/>
        <v>7768096.5723999999</v>
      </c>
      <c r="DT251" s="182">
        <v>177</v>
      </c>
      <c r="DU251" s="182">
        <v>7768096.5723999999</v>
      </c>
      <c r="DV251" s="167">
        <f t="shared" si="817"/>
        <v>0</v>
      </c>
      <c r="DW251" s="167">
        <f t="shared" si="817"/>
        <v>0</v>
      </c>
    </row>
    <row r="252" spans="1:127" ht="45" x14ac:dyDescent="0.25">
      <c r="A252" s="154"/>
      <c r="B252" s="176">
        <v>217</v>
      </c>
      <c r="C252" s="177" t="s">
        <v>588</v>
      </c>
      <c r="D252" s="210" t="s">
        <v>589</v>
      </c>
      <c r="E252" s="158">
        <v>25969</v>
      </c>
      <c r="F252" s="179">
        <v>1.35</v>
      </c>
      <c r="G252" s="243">
        <v>1</v>
      </c>
      <c r="H252" s="242"/>
      <c r="I252" s="242"/>
      <c r="J252" s="242"/>
      <c r="K252" s="106"/>
      <c r="L252" s="180">
        <v>1.4</v>
      </c>
      <c r="M252" s="180">
        <v>1.68</v>
      </c>
      <c r="N252" s="180">
        <v>2.23</v>
      </c>
      <c r="O252" s="181">
        <v>2.57</v>
      </c>
      <c r="P252" s="182">
        <v>882</v>
      </c>
      <c r="Q252" s="182">
        <f t="shared" ref="Q252:Q253" si="904">(P252*$E252*$F252*$G252*$L252)</f>
        <v>43289803.619999997</v>
      </c>
      <c r="R252" s="182">
        <v>1</v>
      </c>
      <c r="S252" s="187">
        <f t="shared" ref="S252:S253" si="905">(R252*$E252*$F252*$G252*$L252)</f>
        <v>49081.409999999996</v>
      </c>
      <c r="T252" s="182">
        <v>4</v>
      </c>
      <c r="U252" s="182">
        <f t="shared" ref="U252:U253" si="906">(T252*$E252*$F252*$G252*$L252)</f>
        <v>196325.63999999998</v>
      </c>
      <c r="V252" s="182"/>
      <c r="W252" s="182">
        <f t="shared" ref="W252:W253" si="907">(V252*$E252*$F252*$G252*$L252)</f>
        <v>0</v>
      </c>
      <c r="X252" s="182"/>
      <c r="Y252" s="182">
        <v>0</v>
      </c>
      <c r="Z252" s="182"/>
      <c r="AA252" s="182">
        <v>0</v>
      </c>
      <c r="AB252" s="182">
        <f t="shared" si="854"/>
        <v>0</v>
      </c>
      <c r="AC252" s="182">
        <f t="shared" si="854"/>
        <v>0</v>
      </c>
      <c r="AD252" s="182"/>
      <c r="AE252" s="182">
        <f t="shared" ref="AE252:AE253" si="908">(AD252*$E252*$F252*$G252*$L252)</f>
        <v>0</v>
      </c>
      <c r="AF252" s="182"/>
      <c r="AG252" s="182"/>
      <c r="AH252" s="182"/>
      <c r="AI252" s="182">
        <f t="shared" ref="AI252:AI253" si="909">(AH252*$E252*$F252*$G252*$L252)</f>
        <v>0</v>
      </c>
      <c r="AJ252" s="182"/>
      <c r="AK252" s="182"/>
      <c r="AL252" s="182"/>
      <c r="AM252" s="182"/>
      <c r="AN252" s="205">
        <v>77</v>
      </c>
      <c r="AO252" s="182">
        <v>3774360.4300000039</v>
      </c>
      <c r="AP252" s="182"/>
      <c r="AQ252" s="182">
        <f t="shared" ref="AQ252:AQ253" si="910">(AP252*$E252*$F252*$G252*$L252)</f>
        <v>0</v>
      </c>
      <c r="AR252" s="182"/>
      <c r="AS252" s="182">
        <f t="shared" ref="AS252:AS253" si="911">(AR252*$E252*$F252*$G252*$L252)</f>
        <v>0</v>
      </c>
      <c r="AT252" s="182"/>
      <c r="AU252" s="183">
        <f t="shared" ref="AU252:AU253" si="912">(AT252*$E252*$F252*$G252*$M252)</f>
        <v>0</v>
      </c>
      <c r="AV252" s="188"/>
      <c r="AW252" s="182">
        <f t="shared" ref="AW252:AW253" si="913">(AV252*$E252*$F252*$G252*$M252)</f>
        <v>0</v>
      </c>
      <c r="AX252" s="182">
        <v>1</v>
      </c>
      <c r="AY252" s="187">
        <f t="shared" ref="AY252:AY253" si="914">(AX252*$E252*$F252*$G252*$M252)</f>
        <v>58897.692000000003</v>
      </c>
      <c r="AZ252" s="182"/>
      <c r="BA252" s="182">
        <f>(AZ252*$E252*$F252*$G252*$L252*$AO$12)</f>
        <v>0</v>
      </c>
      <c r="BB252" s="182"/>
      <c r="BC252" s="182">
        <f t="shared" ref="BC252:BC253" si="915">(BB252*$E252*$F252*$G252*$L252*BC$12)</f>
        <v>0</v>
      </c>
      <c r="BD252" s="182"/>
      <c r="BE252" s="182">
        <f>(BD252*$E252*$F252*$G252*$L252*BE$12)</f>
        <v>0</v>
      </c>
      <c r="BF252" s="182"/>
      <c r="BG252" s="182">
        <f t="shared" ref="BG252:BG253" si="916">(BF252*$E252*$F252*$G252*$L252)</f>
        <v>0</v>
      </c>
      <c r="BH252" s="182"/>
      <c r="BI252" s="182">
        <f t="shared" ref="BI252:BI253" si="917">(BH252*$E252*$F252*$G252*$L252)</f>
        <v>0</v>
      </c>
      <c r="BJ252" s="182"/>
      <c r="BK252" s="182"/>
      <c r="BL252" s="182"/>
      <c r="BM252" s="182">
        <f t="shared" ref="BM252:BM253" si="918">(BL252*$E252*$F252*$G252*$L252)</f>
        <v>0</v>
      </c>
      <c r="BN252" s="182"/>
      <c r="BO252" s="182">
        <f t="shared" ref="BO252:BO253" si="919">(BN252*$E252*$F252*$G252*$M252)</f>
        <v>0</v>
      </c>
      <c r="BP252" s="182"/>
      <c r="BQ252" s="182">
        <f t="shared" ref="BQ252:BQ253" si="920">(BP252*$E252*$F252*$G252*$M252)</f>
        <v>0</v>
      </c>
      <c r="BR252" s="182"/>
      <c r="BS252" s="182">
        <f t="shared" ref="BS252:BS253" si="921">(BR252*$E252*$F252*$G252*$M252)</f>
        <v>0</v>
      </c>
      <c r="BT252" s="182"/>
      <c r="BU252" s="182">
        <f t="shared" ref="BU252:BU253" si="922">(BT252*$E252*$F252*$G252*$M252)</f>
        <v>0</v>
      </c>
      <c r="BV252" s="182"/>
      <c r="BW252" s="182">
        <f t="shared" ref="BW252:BW253" si="923">(BV252*$E252*$F252*$G252*$M252)</f>
        <v>0</v>
      </c>
      <c r="BX252" s="182"/>
      <c r="BY252" s="182">
        <f t="shared" ref="BY252:BY253" si="924">(BX252*$E252*$F252*$G252*$M252)</f>
        <v>0</v>
      </c>
      <c r="BZ252" s="182"/>
      <c r="CA252" s="187">
        <f t="shared" ref="CA252:CA253" si="925">(BZ252*$E252*$F252*$G252*$M252)</f>
        <v>0</v>
      </c>
      <c r="CB252" s="182"/>
      <c r="CC252" s="182">
        <f t="shared" ref="CC252:CC253" si="926">(CB252*$E252*$F252*$G252*$L252)</f>
        <v>0</v>
      </c>
      <c r="CD252" s="182"/>
      <c r="CE252" s="183">
        <f t="shared" ref="CE252:CE253" si="927">(CD252*$E252*$F252*$G252*$L252)</f>
        <v>0</v>
      </c>
      <c r="CF252" s="182"/>
      <c r="CG252" s="182">
        <f t="shared" ref="CG252:CG253" si="928">(CF252*$E252*$F252*$G252*$L252)</f>
        <v>0</v>
      </c>
      <c r="CH252" s="182"/>
      <c r="CI252" s="182">
        <f t="shared" ref="CI252:CI253" si="929">(CH252*$E252*$F252*$G252*$M252)</f>
        <v>0</v>
      </c>
      <c r="CJ252" s="182"/>
      <c r="CK252" s="182"/>
      <c r="CL252" s="182"/>
      <c r="CM252" s="182">
        <f t="shared" ref="CM252:CM253" si="930">(CL252*$E252*$F252*$G252*$L252)</f>
        <v>0</v>
      </c>
      <c r="CN252" s="182"/>
      <c r="CO252" s="182">
        <f t="shared" ref="CO252:CO253" si="931">(CN252*$E252*$F252*$G252*$L252)</f>
        <v>0</v>
      </c>
      <c r="CP252" s="182"/>
      <c r="CQ252" s="182">
        <f t="shared" ref="CQ252:CQ253" si="932">(CP252*$E252*$F252*$G252*$L252)</f>
        <v>0</v>
      </c>
      <c r="CR252" s="182"/>
      <c r="CS252" s="182">
        <f t="shared" ref="CS252:CS253" si="933">(CR252*$E252*$F252*$G252*$L252)</f>
        <v>0</v>
      </c>
      <c r="CT252" s="182"/>
      <c r="CU252" s="182">
        <f t="shared" ref="CU252:CU253" si="934">(CT252*$E252*$F252*$G252*$L252)</f>
        <v>0</v>
      </c>
      <c r="CV252" s="182"/>
      <c r="CW252" s="182">
        <v>0</v>
      </c>
      <c r="CX252" s="182"/>
      <c r="CY252" s="182">
        <f t="shared" ref="CY252:CY253" si="935">(CX252*$E252*$F252*$G252*$M252)</f>
        <v>0</v>
      </c>
      <c r="CZ252" s="182"/>
      <c r="DA252" s="182">
        <v>0</v>
      </c>
      <c r="DB252" s="188">
        <v>390</v>
      </c>
      <c r="DC252" s="182">
        <f t="shared" ref="DC252:DC253" si="936">(DB252*$E252*$F252*$G252*$M252)</f>
        <v>22970099.879999999</v>
      </c>
      <c r="DD252" s="182"/>
      <c r="DE252" s="187">
        <f t="shared" ref="DE252:DE253" si="937">(DD252*$E252*$F252*$G252*$M252)</f>
        <v>0</v>
      </c>
      <c r="DF252" s="182"/>
      <c r="DG252" s="182"/>
      <c r="DH252" s="189"/>
      <c r="DI252" s="182">
        <f t="shared" ref="DI252:DI253" si="938">(DH252*$E252*$F252*$G252*$M252)</f>
        <v>0</v>
      </c>
      <c r="DJ252" s="182"/>
      <c r="DK252" s="182">
        <f t="shared" ref="DK252:DK253" si="939">(DJ252*$E252*$F252*$G252*$M252)</f>
        <v>0</v>
      </c>
      <c r="DL252" s="182"/>
      <c r="DM252" s="182">
        <f t="shared" ref="DM252:DM253" si="940">(DL252*$E252*$F252*$G252*$N252)</f>
        <v>0</v>
      </c>
      <c r="DN252" s="182"/>
      <c r="DO252" s="187">
        <f t="shared" ref="DO252:DO253" si="941">(DN252*$E252*$F252*$G252*$O252)</f>
        <v>0</v>
      </c>
      <c r="DP252" s="187"/>
      <c r="DQ252" s="187"/>
      <c r="DR252" s="183">
        <f t="shared" si="893"/>
        <v>1355</v>
      </c>
      <c r="DS252" s="183">
        <f t="shared" si="893"/>
        <v>70338568.672000006</v>
      </c>
      <c r="DT252" s="182">
        <v>1354</v>
      </c>
      <c r="DU252" s="182">
        <v>70289487.262000009</v>
      </c>
      <c r="DV252" s="167">
        <f t="shared" si="817"/>
        <v>1</v>
      </c>
      <c r="DW252" s="167">
        <f t="shared" si="817"/>
        <v>49081.409999996424</v>
      </c>
    </row>
    <row r="253" spans="1:127" ht="45" x14ac:dyDescent="0.25">
      <c r="A253" s="154"/>
      <c r="B253" s="176">
        <v>218</v>
      </c>
      <c r="C253" s="177" t="s">
        <v>590</v>
      </c>
      <c r="D253" s="210" t="s">
        <v>591</v>
      </c>
      <c r="E253" s="158">
        <v>25969</v>
      </c>
      <c r="F253" s="179">
        <v>1.96</v>
      </c>
      <c r="G253" s="168">
        <v>1</v>
      </c>
      <c r="H253" s="169"/>
      <c r="I253" s="169"/>
      <c r="J253" s="169"/>
      <c r="K253" s="106"/>
      <c r="L253" s="180">
        <v>1.4</v>
      </c>
      <c r="M253" s="180">
        <v>1.68</v>
      </c>
      <c r="N253" s="180">
        <v>2.23</v>
      </c>
      <c r="O253" s="181">
        <v>2.57</v>
      </c>
      <c r="P253" s="182">
        <v>48</v>
      </c>
      <c r="Q253" s="182">
        <f t="shared" si="904"/>
        <v>3420428.9279999998</v>
      </c>
      <c r="R253" s="182"/>
      <c r="S253" s="187">
        <f t="shared" si="905"/>
        <v>0</v>
      </c>
      <c r="T253" s="182"/>
      <c r="U253" s="182">
        <f t="shared" si="906"/>
        <v>0</v>
      </c>
      <c r="V253" s="182"/>
      <c r="W253" s="182">
        <f t="shared" si="907"/>
        <v>0</v>
      </c>
      <c r="X253" s="182"/>
      <c r="Y253" s="182">
        <v>0</v>
      </c>
      <c r="Z253" s="182"/>
      <c r="AA253" s="182">
        <v>0</v>
      </c>
      <c r="AB253" s="182">
        <f t="shared" si="854"/>
        <v>0</v>
      </c>
      <c r="AC253" s="182">
        <f t="shared" si="854"/>
        <v>0</v>
      </c>
      <c r="AD253" s="182"/>
      <c r="AE253" s="182">
        <f t="shared" si="908"/>
        <v>0</v>
      </c>
      <c r="AF253" s="182"/>
      <c r="AG253" s="182"/>
      <c r="AH253" s="182"/>
      <c r="AI253" s="182">
        <f t="shared" si="909"/>
        <v>0</v>
      </c>
      <c r="AJ253" s="182"/>
      <c r="AK253" s="182"/>
      <c r="AL253" s="182"/>
      <c r="AM253" s="182"/>
      <c r="AN253" s="205">
        <v>4</v>
      </c>
      <c r="AO253" s="182">
        <f t="shared" ref="AO253" si="942">(AN253*$E253*$F253*$G253*$L253)</f>
        <v>285035.74399999995</v>
      </c>
      <c r="AP253" s="182"/>
      <c r="AQ253" s="182">
        <f t="shared" si="910"/>
        <v>0</v>
      </c>
      <c r="AR253" s="182"/>
      <c r="AS253" s="182">
        <f t="shared" si="911"/>
        <v>0</v>
      </c>
      <c r="AT253" s="182"/>
      <c r="AU253" s="183">
        <f t="shared" si="912"/>
        <v>0</v>
      </c>
      <c r="AV253" s="188"/>
      <c r="AW253" s="182">
        <f t="shared" si="913"/>
        <v>0</v>
      </c>
      <c r="AX253" s="182"/>
      <c r="AY253" s="187">
        <f t="shared" si="914"/>
        <v>0</v>
      </c>
      <c r="AZ253" s="182"/>
      <c r="BA253" s="182">
        <f>(AZ253*$E253*$F253*$G253*$L253*$AO$12)</f>
        <v>0</v>
      </c>
      <c r="BB253" s="182">
        <v>0</v>
      </c>
      <c r="BC253" s="182">
        <f t="shared" si="915"/>
        <v>0</v>
      </c>
      <c r="BD253" s="182"/>
      <c r="BE253" s="182">
        <f>(BD253*$E253*$F253*$G253*$L253*BE$12)</f>
        <v>0</v>
      </c>
      <c r="BF253" s="182"/>
      <c r="BG253" s="182">
        <f t="shared" si="916"/>
        <v>0</v>
      </c>
      <c r="BH253" s="182"/>
      <c r="BI253" s="182">
        <f t="shared" si="917"/>
        <v>0</v>
      </c>
      <c r="BJ253" s="182"/>
      <c r="BK253" s="182"/>
      <c r="BL253" s="182"/>
      <c r="BM253" s="182">
        <f t="shared" si="918"/>
        <v>0</v>
      </c>
      <c r="BN253" s="182"/>
      <c r="BO253" s="182">
        <f t="shared" si="919"/>
        <v>0</v>
      </c>
      <c r="BP253" s="182"/>
      <c r="BQ253" s="182">
        <f t="shared" si="920"/>
        <v>0</v>
      </c>
      <c r="BR253" s="182"/>
      <c r="BS253" s="182">
        <f t="shared" si="921"/>
        <v>0</v>
      </c>
      <c r="BT253" s="182"/>
      <c r="BU253" s="182">
        <f t="shared" si="922"/>
        <v>0</v>
      </c>
      <c r="BV253" s="182"/>
      <c r="BW253" s="182">
        <f t="shared" si="923"/>
        <v>0</v>
      </c>
      <c r="BX253" s="182"/>
      <c r="BY253" s="182">
        <f t="shared" si="924"/>
        <v>0</v>
      </c>
      <c r="BZ253" s="182"/>
      <c r="CA253" s="187">
        <f t="shared" si="925"/>
        <v>0</v>
      </c>
      <c r="CB253" s="182"/>
      <c r="CC253" s="182">
        <f t="shared" si="926"/>
        <v>0</v>
      </c>
      <c r="CD253" s="182"/>
      <c r="CE253" s="183">
        <f t="shared" si="927"/>
        <v>0</v>
      </c>
      <c r="CF253" s="182"/>
      <c r="CG253" s="182">
        <f t="shared" si="928"/>
        <v>0</v>
      </c>
      <c r="CH253" s="182"/>
      <c r="CI253" s="182">
        <f t="shared" si="929"/>
        <v>0</v>
      </c>
      <c r="CJ253" s="182"/>
      <c r="CK253" s="182"/>
      <c r="CL253" s="182"/>
      <c r="CM253" s="182">
        <f t="shared" si="930"/>
        <v>0</v>
      </c>
      <c r="CN253" s="182"/>
      <c r="CO253" s="182">
        <f t="shared" si="931"/>
        <v>0</v>
      </c>
      <c r="CP253" s="182"/>
      <c r="CQ253" s="182">
        <f t="shared" si="932"/>
        <v>0</v>
      </c>
      <c r="CR253" s="182"/>
      <c r="CS253" s="182">
        <f t="shared" si="933"/>
        <v>0</v>
      </c>
      <c r="CT253" s="182"/>
      <c r="CU253" s="182">
        <f t="shared" si="934"/>
        <v>0</v>
      </c>
      <c r="CV253" s="182"/>
      <c r="CW253" s="182">
        <v>0</v>
      </c>
      <c r="CX253" s="182"/>
      <c r="CY253" s="182">
        <f t="shared" si="935"/>
        <v>0</v>
      </c>
      <c r="CZ253" s="182"/>
      <c r="DA253" s="182">
        <v>0</v>
      </c>
      <c r="DB253" s="188">
        <v>16</v>
      </c>
      <c r="DC253" s="182">
        <f t="shared" si="936"/>
        <v>1368171.5711999999</v>
      </c>
      <c r="DD253" s="182"/>
      <c r="DE253" s="187">
        <f t="shared" si="937"/>
        <v>0</v>
      </c>
      <c r="DF253" s="182"/>
      <c r="DG253" s="182"/>
      <c r="DH253" s="189"/>
      <c r="DI253" s="182">
        <f t="shared" si="938"/>
        <v>0</v>
      </c>
      <c r="DJ253" s="182"/>
      <c r="DK253" s="182">
        <f t="shared" si="939"/>
        <v>0</v>
      </c>
      <c r="DL253" s="182"/>
      <c r="DM253" s="182">
        <f t="shared" si="940"/>
        <v>0</v>
      </c>
      <c r="DN253" s="182"/>
      <c r="DO253" s="187">
        <f t="shared" si="941"/>
        <v>0</v>
      </c>
      <c r="DP253" s="187"/>
      <c r="DQ253" s="187"/>
      <c r="DR253" s="183">
        <f t="shared" si="893"/>
        <v>68</v>
      </c>
      <c r="DS253" s="183">
        <f t="shared" si="893"/>
        <v>5073636.2431999994</v>
      </c>
      <c r="DT253" s="182">
        <v>68</v>
      </c>
      <c r="DU253" s="182">
        <v>5073636.2431999994</v>
      </c>
      <c r="DV253" s="167">
        <f t="shared" si="817"/>
        <v>0</v>
      </c>
      <c r="DW253" s="167">
        <f t="shared" si="817"/>
        <v>0</v>
      </c>
    </row>
    <row r="254" spans="1:127" ht="24.75" customHeight="1" x14ac:dyDescent="0.25">
      <c r="A254" s="154"/>
      <c r="B254" s="176">
        <v>219</v>
      </c>
      <c r="C254" s="177" t="s">
        <v>592</v>
      </c>
      <c r="D254" s="210" t="s">
        <v>593</v>
      </c>
      <c r="E254" s="158">
        <v>25969</v>
      </c>
      <c r="F254" s="257">
        <v>29.91</v>
      </c>
      <c r="G254" s="168">
        <v>1</v>
      </c>
      <c r="H254" s="169"/>
      <c r="I254" s="169"/>
      <c r="J254" s="169"/>
      <c r="K254" s="195">
        <v>7.4000000000000003E-3</v>
      </c>
      <c r="L254" s="180">
        <v>1.4</v>
      </c>
      <c r="M254" s="180">
        <v>1.68</v>
      </c>
      <c r="N254" s="180">
        <v>2.23</v>
      </c>
      <c r="O254" s="181">
        <v>2.57</v>
      </c>
      <c r="P254" s="182">
        <v>0</v>
      </c>
      <c r="Q254" s="196">
        <f>(P254*$E254*$F254*((1-$K254)+$K254*$L254*G254))</f>
        <v>0</v>
      </c>
      <c r="R254" s="196"/>
      <c r="S254" s="196"/>
      <c r="T254" s="196"/>
      <c r="U254" s="196"/>
      <c r="V254" s="182"/>
      <c r="W254" s="196">
        <f>(V254*$E254*$F254*((1-$K254)+$K254*$L254*$G254))</f>
        <v>0</v>
      </c>
      <c r="X254" s="196"/>
      <c r="Y254" s="196">
        <v>0</v>
      </c>
      <c r="Z254" s="196"/>
      <c r="AA254" s="196">
        <v>0</v>
      </c>
      <c r="AB254" s="182">
        <f t="shared" si="854"/>
        <v>0</v>
      </c>
      <c r="AC254" s="182">
        <f t="shared" si="854"/>
        <v>0</v>
      </c>
      <c r="AD254" s="182"/>
      <c r="AE254" s="196">
        <f>(AD254*$E254*$F254*((1-$K254)+$K254*$L254*$G254))</f>
        <v>0</v>
      </c>
      <c r="AF254" s="182"/>
      <c r="AG254" s="182"/>
      <c r="AH254" s="182"/>
      <c r="AI254" s="196">
        <f>(AH254*$E254*$F254*((1-$K254)+$K254*$L254*$G254))</f>
        <v>0</v>
      </c>
      <c r="AJ254" s="196"/>
      <c r="AK254" s="196"/>
      <c r="AL254" s="182"/>
      <c r="AM254" s="182"/>
      <c r="AN254" s="205"/>
      <c r="AO254" s="196">
        <f>(AN254*$E254*$F254*((1-$K254)+$K254*$L254*$G254))</f>
        <v>0</v>
      </c>
      <c r="AP254" s="182"/>
      <c r="AQ254" s="196">
        <f>(AP254*$E254*$F254*((1-$K254)+$K254*$L254*$G254))</f>
        <v>0</v>
      </c>
      <c r="AR254" s="182"/>
      <c r="AS254" s="196">
        <f>(AR254*$E254*$F254*((1-$K254)+$K254*$L254*$G254))</f>
        <v>0</v>
      </c>
      <c r="AT254" s="182"/>
      <c r="AU254" s="196">
        <f>(AT254*$E254*$F254*((1-$K254)+$K254*$M254*$G254))</f>
        <v>0</v>
      </c>
      <c r="AV254" s="188"/>
      <c r="AW254" s="196">
        <f>(AV254*$E254*$F254*((1-$K254)+$K254*$M254*$G254))</f>
        <v>0</v>
      </c>
      <c r="AX254" s="182"/>
      <c r="AY254" s="196">
        <f>(AX254*$E254*$F254*((1-$K254)+$K254*$M254*$G254))</f>
        <v>0</v>
      </c>
      <c r="AZ254" s="182"/>
      <c r="BA254" s="182"/>
      <c r="BB254" s="182">
        <v>0</v>
      </c>
      <c r="BC254" s="182"/>
      <c r="BD254" s="182"/>
      <c r="BE254" s="182"/>
      <c r="BF254" s="182"/>
      <c r="BG254" s="182"/>
      <c r="BH254" s="182"/>
      <c r="BI254" s="182"/>
      <c r="BJ254" s="182"/>
      <c r="BK254" s="182"/>
      <c r="BL254" s="182"/>
      <c r="BM254" s="182"/>
      <c r="BN254" s="182"/>
      <c r="BO254" s="196"/>
      <c r="BP254" s="182"/>
      <c r="BQ254" s="182"/>
      <c r="BR254" s="182"/>
      <c r="BS254" s="182"/>
      <c r="BT254" s="182"/>
      <c r="BU254" s="182"/>
      <c r="BV254" s="182"/>
      <c r="BW254" s="182"/>
      <c r="BX254" s="182"/>
      <c r="BY254" s="182"/>
      <c r="BZ254" s="182"/>
      <c r="CA254" s="187"/>
      <c r="CB254" s="182"/>
      <c r="CC254" s="182"/>
      <c r="CD254" s="182"/>
      <c r="CE254" s="182"/>
      <c r="CF254" s="182"/>
      <c r="CG254" s="182"/>
      <c r="CH254" s="182"/>
      <c r="CI254" s="182"/>
      <c r="CJ254" s="182"/>
      <c r="CK254" s="182"/>
      <c r="CL254" s="182"/>
      <c r="CM254" s="182"/>
      <c r="CN254" s="182"/>
      <c r="CO254" s="182"/>
      <c r="CP254" s="182"/>
      <c r="CQ254" s="182"/>
      <c r="CR254" s="182"/>
      <c r="CS254" s="182"/>
      <c r="CT254" s="182"/>
      <c r="CU254" s="182"/>
      <c r="CV254" s="182"/>
      <c r="CW254" s="182">
        <v>0</v>
      </c>
      <c r="CX254" s="182"/>
      <c r="CY254" s="182"/>
      <c r="CZ254" s="182"/>
      <c r="DA254" s="182">
        <v>0</v>
      </c>
      <c r="DB254" s="188"/>
      <c r="DC254" s="182"/>
      <c r="DD254" s="182"/>
      <c r="DE254" s="187"/>
      <c r="DF254" s="182"/>
      <c r="DG254" s="182"/>
      <c r="DH254" s="189"/>
      <c r="DI254" s="182"/>
      <c r="DJ254" s="182"/>
      <c r="DK254" s="182"/>
      <c r="DL254" s="182"/>
      <c r="DM254" s="182"/>
      <c r="DN254" s="182"/>
      <c r="DO254" s="187"/>
      <c r="DP254" s="187"/>
      <c r="DQ254" s="187"/>
      <c r="DR254" s="183">
        <f t="shared" si="893"/>
        <v>0</v>
      </c>
      <c r="DS254" s="183">
        <f t="shared" si="893"/>
        <v>0</v>
      </c>
      <c r="DT254" s="182">
        <v>0</v>
      </c>
      <c r="DU254" s="182">
        <v>0</v>
      </c>
      <c r="DV254" s="167">
        <f t="shared" si="817"/>
        <v>0</v>
      </c>
      <c r="DW254" s="167">
        <f t="shared" si="817"/>
        <v>0</v>
      </c>
    </row>
    <row r="255" spans="1:127" ht="15.75" customHeight="1" x14ac:dyDescent="0.25">
      <c r="A255" s="170">
        <v>21</v>
      </c>
      <c r="B255" s="197"/>
      <c r="C255" s="198"/>
      <c r="D255" s="211" t="s">
        <v>594</v>
      </c>
      <c r="E255" s="158">
        <v>25969</v>
      </c>
      <c r="F255" s="199">
        <v>0.92</v>
      </c>
      <c r="G255" s="171"/>
      <c r="H255" s="169"/>
      <c r="I255" s="169"/>
      <c r="J255" s="169"/>
      <c r="K255" s="173"/>
      <c r="L255" s="174">
        <v>1.4</v>
      </c>
      <c r="M255" s="174">
        <v>1.68</v>
      </c>
      <c r="N255" s="174">
        <v>2.23</v>
      </c>
      <c r="O255" s="175">
        <v>2.57</v>
      </c>
      <c r="P255" s="166">
        <f t="shared" ref="P255:AD255" si="943">SUM(P256:P264)</f>
        <v>0</v>
      </c>
      <c r="Q255" s="166">
        <f t="shared" si="943"/>
        <v>0</v>
      </c>
      <c r="R255" s="166">
        <f t="shared" ref="R255" si="944">SUM(R256:R264)</f>
        <v>1</v>
      </c>
      <c r="S255" s="166">
        <f t="shared" si="943"/>
        <v>26394.891600000003</v>
      </c>
      <c r="T255" s="166">
        <f t="shared" si="943"/>
        <v>0</v>
      </c>
      <c r="U255" s="166">
        <f t="shared" si="943"/>
        <v>0</v>
      </c>
      <c r="V255" s="166">
        <f t="shared" si="943"/>
        <v>0</v>
      </c>
      <c r="W255" s="166">
        <f t="shared" si="943"/>
        <v>0</v>
      </c>
      <c r="X255" s="166">
        <v>0</v>
      </c>
      <c r="Y255" s="166">
        <v>0</v>
      </c>
      <c r="Z255" s="166">
        <v>0</v>
      </c>
      <c r="AA255" s="166">
        <v>0</v>
      </c>
      <c r="AB255" s="166">
        <f t="shared" si="943"/>
        <v>0</v>
      </c>
      <c r="AC255" s="166">
        <f t="shared" si="943"/>
        <v>0</v>
      </c>
      <c r="AD255" s="166">
        <f t="shared" si="943"/>
        <v>0</v>
      </c>
      <c r="AE255" s="166">
        <f t="shared" ref="AE255:CP255" si="945">SUM(AE256:AE264)</f>
        <v>0</v>
      </c>
      <c r="AF255" s="166">
        <f t="shared" si="945"/>
        <v>114</v>
      </c>
      <c r="AG255" s="166">
        <f t="shared" si="945"/>
        <v>4979126.2019647993</v>
      </c>
      <c r="AH255" s="166">
        <f t="shared" si="945"/>
        <v>0</v>
      </c>
      <c r="AI255" s="166">
        <f t="shared" si="945"/>
        <v>0</v>
      </c>
      <c r="AJ255" s="166">
        <f>SUM(AJ256:AJ264)</f>
        <v>0</v>
      </c>
      <c r="AK255" s="166">
        <f>SUM(AK256:AK264)</f>
        <v>0</v>
      </c>
      <c r="AL255" s="166">
        <f t="shared" si="945"/>
        <v>0</v>
      </c>
      <c r="AM255" s="166">
        <f t="shared" si="945"/>
        <v>0</v>
      </c>
      <c r="AN255" s="166">
        <f t="shared" si="945"/>
        <v>0</v>
      </c>
      <c r="AO255" s="166">
        <f t="shared" si="945"/>
        <v>0</v>
      </c>
      <c r="AP255" s="166">
        <f t="shared" si="945"/>
        <v>2764</v>
      </c>
      <c r="AQ255" s="166">
        <f t="shared" si="945"/>
        <v>69157783.171240002</v>
      </c>
      <c r="AR255" s="166">
        <f t="shared" si="945"/>
        <v>0</v>
      </c>
      <c r="AS255" s="166">
        <f t="shared" si="945"/>
        <v>0</v>
      </c>
      <c r="AT255" s="166">
        <f t="shared" si="945"/>
        <v>1</v>
      </c>
      <c r="AU255" s="166">
        <f t="shared" si="945"/>
        <v>33182.68350806641</v>
      </c>
      <c r="AV255" s="166">
        <f t="shared" si="945"/>
        <v>0</v>
      </c>
      <c r="AW255" s="166">
        <f t="shared" si="945"/>
        <v>0</v>
      </c>
      <c r="AX255" s="166">
        <f t="shared" si="945"/>
        <v>0</v>
      </c>
      <c r="AY255" s="166">
        <f t="shared" si="945"/>
        <v>0</v>
      </c>
      <c r="AZ255" s="166">
        <f t="shared" si="945"/>
        <v>0</v>
      </c>
      <c r="BA255" s="166">
        <f t="shared" si="945"/>
        <v>0</v>
      </c>
      <c r="BB255" s="166">
        <f t="shared" si="945"/>
        <v>0</v>
      </c>
      <c r="BC255" s="166">
        <f t="shared" si="945"/>
        <v>0</v>
      </c>
      <c r="BD255" s="166">
        <f t="shared" si="945"/>
        <v>0</v>
      </c>
      <c r="BE255" s="166">
        <f t="shared" si="945"/>
        <v>0</v>
      </c>
      <c r="BF255" s="166">
        <f t="shared" si="945"/>
        <v>0</v>
      </c>
      <c r="BG255" s="166">
        <f t="shared" si="945"/>
        <v>0</v>
      </c>
      <c r="BH255" s="166">
        <f t="shared" si="945"/>
        <v>0</v>
      </c>
      <c r="BI255" s="166">
        <f t="shared" si="945"/>
        <v>0</v>
      </c>
      <c r="BJ255" s="166">
        <f t="shared" si="945"/>
        <v>0</v>
      </c>
      <c r="BK255" s="166">
        <f t="shared" si="945"/>
        <v>0</v>
      </c>
      <c r="BL255" s="166">
        <f t="shared" si="945"/>
        <v>0</v>
      </c>
      <c r="BM255" s="166">
        <f t="shared" si="945"/>
        <v>0</v>
      </c>
      <c r="BN255" s="166">
        <f t="shared" si="945"/>
        <v>0</v>
      </c>
      <c r="BO255" s="166">
        <f t="shared" si="945"/>
        <v>0</v>
      </c>
      <c r="BP255" s="166">
        <f t="shared" si="945"/>
        <v>0</v>
      </c>
      <c r="BQ255" s="166">
        <f t="shared" si="945"/>
        <v>0</v>
      </c>
      <c r="BR255" s="166">
        <f t="shared" si="945"/>
        <v>0</v>
      </c>
      <c r="BS255" s="166">
        <f t="shared" si="945"/>
        <v>0</v>
      </c>
      <c r="BT255" s="166">
        <f t="shared" si="945"/>
        <v>0</v>
      </c>
      <c r="BU255" s="166">
        <f t="shared" si="945"/>
        <v>0</v>
      </c>
      <c r="BV255" s="166">
        <f t="shared" si="945"/>
        <v>2</v>
      </c>
      <c r="BW255" s="166">
        <f t="shared" si="945"/>
        <v>40050.430560000001</v>
      </c>
      <c r="BX255" s="166">
        <f t="shared" si="945"/>
        <v>10</v>
      </c>
      <c r="BY255" s="166">
        <f t="shared" si="945"/>
        <v>344214.60340175999</v>
      </c>
      <c r="BZ255" s="166">
        <f t="shared" si="945"/>
        <v>0</v>
      </c>
      <c r="CA255" s="166">
        <f t="shared" si="945"/>
        <v>0</v>
      </c>
      <c r="CB255" s="166">
        <f t="shared" si="945"/>
        <v>0</v>
      </c>
      <c r="CC255" s="166">
        <f t="shared" si="945"/>
        <v>0</v>
      </c>
      <c r="CD255" s="166">
        <f t="shared" si="945"/>
        <v>0</v>
      </c>
      <c r="CE255" s="166">
        <f t="shared" si="945"/>
        <v>0</v>
      </c>
      <c r="CF255" s="166">
        <f t="shared" si="945"/>
        <v>0</v>
      </c>
      <c r="CG255" s="166">
        <f t="shared" si="945"/>
        <v>0</v>
      </c>
      <c r="CH255" s="166">
        <f t="shared" si="945"/>
        <v>0</v>
      </c>
      <c r="CI255" s="166">
        <f t="shared" si="945"/>
        <v>0</v>
      </c>
      <c r="CJ255" s="166">
        <f t="shared" si="945"/>
        <v>0</v>
      </c>
      <c r="CK255" s="166">
        <f t="shared" si="945"/>
        <v>0</v>
      </c>
      <c r="CL255" s="166">
        <f t="shared" si="945"/>
        <v>0</v>
      </c>
      <c r="CM255" s="166">
        <f t="shared" si="945"/>
        <v>0</v>
      </c>
      <c r="CN255" s="166">
        <f t="shared" si="945"/>
        <v>0</v>
      </c>
      <c r="CO255" s="166">
        <f t="shared" si="945"/>
        <v>0</v>
      </c>
      <c r="CP255" s="166">
        <f t="shared" si="945"/>
        <v>0</v>
      </c>
      <c r="CQ255" s="166">
        <f t="shared" ref="CQ255:DQ255" si="946">SUM(CQ256:CQ264)</f>
        <v>0</v>
      </c>
      <c r="CR255" s="166">
        <f t="shared" si="946"/>
        <v>0</v>
      </c>
      <c r="CS255" s="166">
        <f t="shared" si="946"/>
        <v>0</v>
      </c>
      <c r="CT255" s="166">
        <f t="shared" si="946"/>
        <v>0</v>
      </c>
      <c r="CU255" s="166">
        <f t="shared" si="946"/>
        <v>0</v>
      </c>
      <c r="CV255" s="166">
        <f t="shared" si="946"/>
        <v>0</v>
      </c>
      <c r="CW255" s="166">
        <v>0</v>
      </c>
      <c r="CX255" s="166">
        <f t="shared" si="946"/>
        <v>0</v>
      </c>
      <c r="CY255" s="166">
        <f t="shared" si="946"/>
        <v>0</v>
      </c>
      <c r="CZ255" s="166">
        <f t="shared" si="946"/>
        <v>0</v>
      </c>
      <c r="DA255" s="166">
        <v>0</v>
      </c>
      <c r="DB255" s="166">
        <f t="shared" si="946"/>
        <v>1295</v>
      </c>
      <c r="DC255" s="166">
        <f t="shared" si="946"/>
        <v>28374543.372335996</v>
      </c>
      <c r="DD255" s="166">
        <f t="shared" si="946"/>
        <v>0</v>
      </c>
      <c r="DE255" s="166">
        <f t="shared" si="946"/>
        <v>0</v>
      </c>
      <c r="DF255" s="166">
        <f t="shared" si="946"/>
        <v>0</v>
      </c>
      <c r="DG255" s="166">
        <f t="shared" si="946"/>
        <v>0</v>
      </c>
      <c r="DH255" s="166">
        <f t="shared" si="946"/>
        <v>0</v>
      </c>
      <c r="DI255" s="166">
        <f t="shared" si="946"/>
        <v>0</v>
      </c>
      <c r="DJ255" s="166">
        <f t="shared" si="946"/>
        <v>29</v>
      </c>
      <c r="DK255" s="166">
        <f t="shared" si="946"/>
        <v>710262.25401852001</v>
      </c>
      <c r="DL255" s="166">
        <f t="shared" si="946"/>
        <v>6</v>
      </c>
      <c r="DM255" s="166">
        <f t="shared" si="946"/>
        <v>177207.2622</v>
      </c>
      <c r="DN255" s="166">
        <f t="shared" si="946"/>
        <v>2</v>
      </c>
      <c r="DO255" s="166">
        <f t="shared" si="946"/>
        <v>88097.2356</v>
      </c>
      <c r="DP255" s="166">
        <f t="shared" si="946"/>
        <v>0</v>
      </c>
      <c r="DQ255" s="166">
        <f t="shared" si="946"/>
        <v>0</v>
      </c>
      <c r="DR255" s="166">
        <f>SUM(DR256:DR264)</f>
        <v>4224</v>
      </c>
      <c r="DS255" s="166">
        <f t="shared" ref="DS255" si="947">SUM(DS256:DS264)</f>
        <v>103930862.10642916</v>
      </c>
      <c r="DT255" s="166">
        <v>4309</v>
      </c>
      <c r="DU255" s="166">
        <v>105941616.018152</v>
      </c>
      <c r="DV255" s="167">
        <f t="shared" si="817"/>
        <v>-85</v>
      </c>
      <c r="DW255" s="167">
        <f t="shared" si="817"/>
        <v>-2010753.9117228389</v>
      </c>
    </row>
    <row r="256" spans="1:127" ht="18.75" x14ac:dyDescent="0.25">
      <c r="A256" s="154"/>
      <c r="B256" s="176">
        <v>220</v>
      </c>
      <c r="C256" s="177" t="s">
        <v>595</v>
      </c>
      <c r="D256" s="210" t="s">
        <v>596</v>
      </c>
      <c r="E256" s="158">
        <v>25969</v>
      </c>
      <c r="F256" s="179">
        <v>0.49</v>
      </c>
      <c r="G256" s="243">
        <v>0.8</v>
      </c>
      <c r="H256" s="243"/>
      <c r="I256" s="243"/>
      <c r="J256" s="243"/>
      <c r="K256" s="106"/>
      <c r="L256" s="180">
        <v>1.4</v>
      </c>
      <c r="M256" s="180">
        <v>1.68</v>
      </c>
      <c r="N256" s="180">
        <v>2.23</v>
      </c>
      <c r="O256" s="181">
        <v>2.57</v>
      </c>
      <c r="P256" s="182"/>
      <c r="Q256" s="182">
        <f>(P256*$E256*$F256*$G256*$L256*$Q$12)</f>
        <v>0</v>
      </c>
      <c r="R256" s="182"/>
      <c r="S256" s="182">
        <f>(R256*$E256*$F256*$G256*$L256*$S$12)</f>
        <v>0</v>
      </c>
      <c r="T256" s="182"/>
      <c r="U256" s="182">
        <f t="shared" ref="U256:U258" si="948">(T256/12*11*$E256*$F256*$G256*$L256*$U$12)+(T256/12*1*$E256*$F256*$G256*$L256*$U$14)</f>
        <v>0</v>
      </c>
      <c r="V256" s="182"/>
      <c r="W256" s="183">
        <f t="shared" ref="W256:W258" si="949">(V256*$E256*$F256*$G256*$L256*$W$12)/12*10+(V256*$E256*$F256*$G256*$L256*$W$13)/12*1++(V256*$E256*$F256*$G256*$L256*$W$14)/12*1</f>
        <v>0</v>
      </c>
      <c r="X256" s="183"/>
      <c r="Y256" s="183">
        <v>0</v>
      </c>
      <c r="Z256" s="183"/>
      <c r="AA256" s="183">
        <v>0</v>
      </c>
      <c r="AB256" s="182">
        <f t="shared" ref="AB256:AC263" si="950">X256+Z256</f>
        <v>0</v>
      </c>
      <c r="AC256" s="182">
        <f t="shared" si="950"/>
        <v>0</v>
      </c>
      <c r="AD256" s="182"/>
      <c r="AE256" s="182">
        <f>(AD256*$E256*$F256*$G256*$L256*$AE$12)</f>
        <v>0</v>
      </c>
      <c r="AF256" s="261">
        <v>1</v>
      </c>
      <c r="AG256" s="183">
        <f>(AF256*$E256*$F256*$G256*$L256*$AG$12)</f>
        <v>15676.965920000001</v>
      </c>
      <c r="AH256" s="182"/>
      <c r="AI256" s="182">
        <f>(AH256*$E256*$F256*$G256*$L256*$AI$12)</f>
        <v>0</v>
      </c>
      <c r="AJ256" s="182"/>
      <c r="AK256" s="182"/>
      <c r="AL256" s="182"/>
      <c r="AM256" s="182"/>
      <c r="AN256" s="205"/>
      <c r="AO256" s="182">
        <f>(AN256*$E256*$F256*$G256*$L256*$AO$12)</f>
        <v>0</v>
      </c>
      <c r="AP256" s="182">
        <f>350+15</f>
        <v>365</v>
      </c>
      <c r="AQ256" s="183">
        <f>(AP256*$E256*$F256*$G256*$L256*$AQ$12)</f>
        <v>5722092.560800001</v>
      </c>
      <c r="AR256" s="182"/>
      <c r="AS256" s="182">
        <f t="shared" ref="AS256:AS258" si="951">(AR256*$E256*$F256*$G256*$L256*$AS$12)/12*10+(AR256*$E256*$F256*$G256*$L256*$AS$13)/12*1+(AR256*$E256*$F256*$G256*$L256*$AS$14)/12*1</f>
        <v>0</v>
      </c>
      <c r="AT256" s="182"/>
      <c r="AU256" s="182">
        <f>(AT256*$E256*$F256*$G256*$M256*$AU$12)</f>
        <v>0</v>
      </c>
      <c r="AV256" s="188"/>
      <c r="AW256" s="182">
        <f>(AV256*$E256*$F256*$G256*$M256*$AW$12)</f>
        <v>0</v>
      </c>
      <c r="AX256" s="182"/>
      <c r="AY256" s="187">
        <f>(AX256*$E256*$F256*$G256*$M256*$AY$12)</f>
        <v>0</v>
      </c>
      <c r="AZ256" s="182"/>
      <c r="BA256" s="182">
        <f>(AZ256*$E256*$F256*$G256*$L256*$BA$12)</f>
        <v>0</v>
      </c>
      <c r="BB256" s="182"/>
      <c r="BC256" s="182">
        <f>(BB256*$E256*$F256*$G256*$L256*$BC$12)</f>
        <v>0</v>
      </c>
      <c r="BD256" s="182"/>
      <c r="BE256" s="182">
        <f>(BD256*$E256*$F256*$G256*$L256*$BE$12)</f>
        <v>0</v>
      </c>
      <c r="BF256" s="182"/>
      <c r="BG256" s="182">
        <f>(BF256*$E256*$F256*$G256*$L256*$BG$12)</f>
        <v>0</v>
      </c>
      <c r="BH256" s="182"/>
      <c r="BI256" s="183">
        <f>(BH256*$E256*$F256*$G256*$L256*$BI$12)</f>
        <v>0</v>
      </c>
      <c r="BJ256" s="182"/>
      <c r="BK256" s="183">
        <f>(BJ256*$E256*$F256*$G256*$L256*$BK$12)</f>
        <v>0</v>
      </c>
      <c r="BL256" s="182"/>
      <c r="BM256" s="182">
        <f>(BL256*$E256*$F256*$G256*$L256*$BM$12)</f>
        <v>0</v>
      </c>
      <c r="BN256" s="182"/>
      <c r="BO256" s="182">
        <f>(BN256*$E256*$F256*$G256*$M256*$BO$12)</f>
        <v>0</v>
      </c>
      <c r="BP256" s="182"/>
      <c r="BQ256" s="182">
        <f>(BP256*$E256*$F256*$G256*$M256*$BQ$12)</f>
        <v>0</v>
      </c>
      <c r="BR256" s="182"/>
      <c r="BS256" s="183">
        <f>(BR256*$E256*$F256*$G256*$M256*$BS$12)</f>
        <v>0</v>
      </c>
      <c r="BT256" s="182"/>
      <c r="BU256" s="182">
        <f>(BT256*$E256*$F256*$G256*$M256*$BU$12)</f>
        <v>0</v>
      </c>
      <c r="BV256" s="182"/>
      <c r="BW256" s="182">
        <f>(BV256*$E256*$F256*$G256*$M256*$BW$12)</f>
        <v>0</v>
      </c>
      <c r="BX256" s="182"/>
      <c r="BY256" s="183">
        <f>(BX256*$E256*$F256*$G256*$M256*$BY$12)</f>
        <v>0</v>
      </c>
      <c r="BZ256" s="182"/>
      <c r="CA256" s="187">
        <f>(BZ256*$E256*$F256*$G256*$M256*$CA$12)</f>
        <v>0</v>
      </c>
      <c r="CB256" s="182"/>
      <c r="CC256" s="182">
        <f>(CB256*$E256*$F256*$G256*$L256*$CC$12)</f>
        <v>0</v>
      </c>
      <c r="CD256" s="182"/>
      <c r="CE256" s="182">
        <f>(CD256*$E256*$F256*$G256*$L256*$CE$12)</f>
        <v>0</v>
      </c>
      <c r="CF256" s="182"/>
      <c r="CG256" s="182">
        <f>(CF256*$E256*$F256*$G256*$L256*$CG$12)</f>
        <v>0</v>
      </c>
      <c r="CH256" s="182"/>
      <c r="CI256" s="182">
        <f>(CH256*$E256*$F256*$G256*$M256*$CI$12)</f>
        <v>0</v>
      </c>
      <c r="CJ256" s="182"/>
      <c r="CK256" s="182"/>
      <c r="CL256" s="182"/>
      <c r="CM256" s="183">
        <f>(CL256*$E256*$F256*$G256*$L256*$CM$12)</f>
        <v>0</v>
      </c>
      <c r="CN256" s="182"/>
      <c r="CO256" s="183">
        <f>(CN256*$E256*$F256*$G256*$L256*$CO$12)</f>
        <v>0</v>
      </c>
      <c r="CP256" s="182"/>
      <c r="CQ256" s="182">
        <f>(CP256*$E256*$F256*$G256*$L256*$CQ$12)</f>
        <v>0</v>
      </c>
      <c r="CR256" s="182"/>
      <c r="CS256" s="182">
        <f>(CR256*$E256*$F256*$G256*$L256*$CS$12)</f>
        <v>0</v>
      </c>
      <c r="CT256" s="182"/>
      <c r="CU256" s="182">
        <f>(CT256*$E256*$F256*$G256*$L256*$CU$12)</f>
        <v>0</v>
      </c>
      <c r="CV256" s="182"/>
      <c r="CW256" s="182">
        <v>0</v>
      </c>
      <c r="CX256" s="182"/>
      <c r="CY256" s="182">
        <f>(CX256*$E256*$F256*$G256*$M256*$CY$12)</f>
        <v>0</v>
      </c>
      <c r="CZ256" s="182"/>
      <c r="DA256" s="182">
        <v>0</v>
      </c>
      <c r="DB256" s="188">
        <v>160</v>
      </c>
      <c r="DC256" s="182">
        <f>(DB256*$E256*$F256*$G256*$M256*$DC$12)</f>
        <v>2462708.82816</v>
      </c>
      <c r="DD256" s="182"/>
      <c r="DE256" s="187">
        <f t="shared" ref="DE256:DE258" si="952">(DD256*$E256*$F256*$G256*$M256*DE$12)</f>
        <v>0</v>
      </c>
      <c r="DF256" s="182"/>
      <c r="DG256" s="182">
        <f>(DF256*$E256*$F256*$G256*$M256*$DG$12)</f>
        <v>0</v>
      </c>
      <c r="DH256" s="189"/>
      <c r="DI256" s="182">
        <f>(DH256*$E256*$F256*$G256*$M256*$DI$12)</f>
        <v>0</v>
      </c>
      <c r="DJ256" s="182"/>
      <c r="DK256" s="182">
        <f>(DJ256*$E256*$F256*$G256*$M256*$DK$12)</f>
        <v>0</v>
      </c>
      <c r="DL256" s="182"/>
      <c r="DM256" s="182">
        <f>(DL256*$E256*$F256*$G256*$N256*$DM$12)</f>
        <v>0</v>
      </c>
      <c r="DN256" s="182"/>
      <c r="DO256" s="190">
        <f>(DN256*$E256*$F256*$G256*$O256*$DO$12)</f>
        <v>0</v>
      </c>
      <c r="DP256" s="187"/>
      <c r="DQ256" s="187"/>
      <c r="DR256" s="183">
        <f t="shared" ref="DR256:DS264" si="953">SUM(P256,R256,T256,V256,AB256,AJ256,AD256,AF256,AH256,AL256,AN256,AP256,AV256,AZ256,BB256,CF256,AR256,BF256,BH256,BJ256,CT256,BL256,BN256,AT256,BR256,AX256,CV256,BT256,CX256,BV256,BX256,BZ256,CH256,CB256,CD256,CJ256,CL256,CN256,CP256,CR256,CZ256,DB256,BP256,BD256,DD256,DF256,DH256,DJ256,DL256,DN256,DP256)</f>
        <v>526</v>
      </c>
      <c r="DS256" s="183">
        <f t="shared" si="953"/>
        <v>8200478.3548800014</v>
      </c>
      <c r="DT256" s="182">
        <v>530</v>
      </c>
      <c r="DU256" s="182">
        <v>8263186.2185600009</v>
      </c>
      <c r="DV256" s="167">
        <f t="shared" si="817"/>
        <v>-4</v>
      </c>
      <c r="DW256" s="167">
        <f t="shared" si="817"/>
        <v>-62707.863679999486</v>
      </c>
    </row>
    <row r="257" spans="1:127" ht="18.75" x14ac:dyDescent="0.25">
      <c r="A257" s="154"/>
      <c r="B257" s="176">
        <v>221</v>
      </c>
      <c r="C257" s="177" t="s">
        <v>597</v>
      </c>
      <c r="D257" s="210" t="s">
        <v>598</v>
      </c>
      <c r="E257" s="158">
        <v>25969</v>
      </c>
      <c r="F257" s="179">
        <v>0.79</v>
      </c>
      <c r="G257" s="243">
        <v>0.8</v>
      </c>
      <c r="H257" s="243"/>
      <c r="I257" s="243"/>
      <c r="J257" s="243"/>
      <c r="K257" s="106"/>
      <c r="L257" s="180">
        <v>1.4</v>
      </c>
      <c r="M257" s="180">
        <v>1.68</v>
      </c>
      <c r="N257" s="180">
        <v>2.23</v>
      </c>
      <c r="O257" s="181">
        <v>2.57</v>
      </c>
      <c r="P257" s="182"/>
      <c r="Q257" s="182">
        <f>(P257*$E257*$F257*$G257*$L257*$Q$12)</f>
        <v>0</v>
      </c>
      <c r="R257" s="182"/>
      <c r="S257" s="182">
        <f>(R257*$E257*$F257*$G257*$L257*$S$12)</f>
        <v>0</v>
      </c>
      <c r="T257" s="182"/>
      <c r="U257" s="182">
        <f t="shared" si="948"/>
        <v>0</v>
      </c>
      <c r="V257" s="182"/>
      <c r="W257" s="183">
        <f t="shared" si="949"/>
        <v>0</v>
      </c>
      <c r="X257" s="183"/>
      <c r="Y257" s="183">
        <v>0</v>
      </c>
      <c r="Z257" s="183"/>
      <c r="AA257" s="183">
        <v>0</v>
      </c>
      <c r="AB257" s="182">
        <f t="shared" si="950"/>
        <v>0</v>
      </c>
      <c r="AC257" s="182">
        <f t="shared" si="950"/>
        <v>0</v>
      </c>
      <c r="AD257" s="182"/>
      <c r="AE257" s="182">
        <f>(AD257*$E257*$F257*$G257*$L257*$AE$12)</f>
        <v>0</v>
      </c>
      <c r="AF257" s="261"/>
      <c r="AG257" s="183">
        <f>(AF257*$E257*$F257*$G257*$L257*$AG$12)</f>
        <v>0</v>
      </c>
      <c r="AH257" s="182"/>
      <c r="AI257" s="182">
        <f>(AH257*$E257*$F257*$G257*$L257*$AI$12)</f>
        <v>0</v>
      </c>
      <c r="AJ257" s="182"/>
      <c r="AK257" s="182"/>
      <c r="AL257" s="182"/>
      <c r="AM257" s="182"/>
      <c r="AN257" s="205"/>
      <c r="AO257" s="182">
        <f>(AN257*$E257*$F257*$G257*$L257*$AO$12)</f>
        <v>0</v>
      </c>
      <c r="AP257" s="182">
        <v>155</v>
      </c>
      <c r="AQ257" s="183">
        <f>(AP257*$E257*$F257*$G257*$L257*$AQ$12)</f>
        <v>3917641.7896000007</v>
      </c>
      <c r="AR257" s="182"/>
      <c r="AS257" s="182">
        <f t="shared" si="951"/>
        <v>0</v>
      </c>
      <c r="AT257" s="182"/>
      <c r="AU257" s="182">
        <f>(AT257*$E257*$F257*$G257*$M257*$AU$12)</f>
        <v>0</v>
      </c>
      <c r="AV257" s="188"/>
      <c r="AW257" s="182">
        <f>(AV257*$E257*$F257*$G257*$M257*$AW$12)</f>
        <v>0</v>
      </c>
      <c r="AX257" s="182"/>
      <c r="AY257" s="187">
        <f>(AX257*$E257*$F257*$G257*$M257*$AY$12)</f>
        <v>0</v>
      </c>
      <c r="AZ257" s="182"/>
      <c r="BA257" s="182">
        <f>(AZ257*$E257*$F257*$G257*$L257*$BA$12)</f>
        <v>0</v>
      </c>
      <c r="BB257" s="182">
        <v>0</v>
      </c>
      <c r="BC257" s="182">
        <f>(BB257*$E257*$F257*$G257*$L257*$BC$12)</f>
        <v>0</v>
      </c>
      <c r="BD257" s="182"/>
      <c r="BE257" s="182">
        <f>(BD257*$E257*$F257*$G257*$L257*$BE$12)</f>
        <v>0</v>
      </c>
      <c r="BF257" s="182"/>
      <c r="BG257" s="182">
        <f>(BF257*$E257*$F257*$G257*$L257*$BG$12)</f>
        <v>0</v>
      </c>
      <c r="BH257" s="182"/>
      <c r="BI257" s="183">
        <f>(BH257*$E257*$F257*$G257*$L257*$BI$12)</f>
        <v>0</v>
      </c>
      <c r="BJ257" s="182"/>
      <c r="BK257" s="183">
        <f>(BJ257*$E257*$F257*$G257*$L257*$BK$12)</f>
        <v>0</v>
      </c>
      <c r="BL257" s="182"/>
      <c r="BM257" s="182">
        <f>(BL257*$E257*$F257*$G257*$L257*$BM$12)</f>
        <v>0</v>
      </c>
      <c r="BN257" s="182"/>
      <c r="BO257" s="182">
        <f>(BN257*$E257*$F257*$G257*$M257*$BO$12)</f>
        <v>0</v>
      </c>
      <c r="BP257" s="182"/>
      <c r="BQ257" s="182">
        <f>(BP257*$E257*$F257*$G257*$M257*$BQ$12)</f>
        <v>0</v>
      </c>
      <c r="BR257" s="182"/>
      <c r="BS257" s="183">
        <f>(BR257*$E257*$F257*$G257*$M257*$BS$12)</f>
        <v>0</v>
      </c>
      <c r="BT257" s="182"/>
      <c r="BU257" s="182">
        <f>(BT257*$E257*$F257*$G257*$M257*$BU$12)</f>
        <v>0</v>
      </c>
      <c r="BV257" s="182"/>
      <c r="BW257" s="182">
        <f>(BV257*$E257*$F257*$G257*$M257*$BW$12)</f>
        <v>0</v>
      </c>
      <c r="BX257" s="182"/>
      <c r="BY257" s="183">
        <f>(BX257*$E257*$F257*$G257*$M257*$BY$12)</f>
        <v>0</v>
      </c>
      <c r="BZ257" s="182"/>
      <c r="CA257" s="187">
        <f>(BZ257*$E257*$F257*$G257*$M257*$CA$12)</f>
        <v>0</v>
      </c>
      <c r="CB257" s="182"/>
      <c r="CC257" s="182">
        <f>(CB257*$E257*$F257*$G257*$L257*$CC$12)</f>
        <v>0</v>
      </c>
      <c r="CD257" s="182"/>
      <c r="CE257" s="182">
        <f>(CD257*$E257*$F257*$G257*$L257*$CE$12)</f>
        <v>0</v>
      </c>
      <c r="CF257" s="182"/>
      <c r="CG257" s="182">
        <f>(CF257*$E257*$F257*$G257*$L257*$CG$12)</f>
        <v>0</v>
      </c>
      <c r="CH257" s="182"/>
      <c r="CI257" s="182">
        <f>(CH257*$E257*$F257*$G257*$M257*$CI$12)</f>
        <v>0</v>
      </c>
      <c r="CJ257" s="182"/>
      <c r="CK257" s="182"/>
      <c r="CL257" s="182"/>
      <c r="CM257" s="183">
        <f>(CL257*$E257*$F257*$G257*$L257*$CM$12)</f>
        <v>0</v>
      </c>
      <c r="CN257" s="182"/>
      <c r="CO257" s="183">
        <f>(CN257*$E257*$F257*$G257*$L257*$CO$12)</f>
        <v>0</v>
      </c>
      <c r="CP257" s="182"/>
      <c r="CQ257" s="182">
        <f>(CP257*$E257*$F257*$G257*$L257*$CQ$12)</f>
        <v>0</v>
      </c>
      <c r="CR257" s="182"/>
      <c r="CS257" s="182">
        <f>(CR257*$E257*$F257*$G257*$L257*$CS$12)</f>
        <v>0</v>
      </c>
      <c r="CT257" s="182"/>
      <c r="CU257" s="182">
        <f>(CT257*$E257*$F257*$G257*$L257*$CU$12)</f>
        <v>0</v>
      </c>
      <c r="CV257" s="182"/>
      <c r="CW257" s="182">
        <v>0</v>
      </c>
      <c r="CX257" s="182"/>
      <c r="CY257" s="182">
        <f>(CX257*$E257*$F257*$G257*$M257*$CY$12)</f>
        <v>0</v>
      </c>
      <c r="CZ257" s="182"/>
      <c r="DA257" s="182">
        <v>0</v>
      </c>
      <c r="DB257" s="188">
        <v>40</v>
      </c>
      <c r="DC257" s="182">
        <f>(DB257*$E257*$F257*$G257*$M257*$DC$12)</f>
        <v>992622.43584000017</v>
      </c>
      <c r="DD257" s="182"/>
      <c r="DE257" s="187">
        <f t="shared" si="952"/>
        <v>0</v>
      </c>
      <c r="DF257" s="182"/>
      <c r="DG257" s="182">
        <f>(DF257*$E257*$F257*$G257*$M257*$DG$12)</f>
        <v>0</v>
      </c>
      <c r="DH257" s="189"/>
      <c r="DI257" s="182">
        <f>(DH257*$E257*$F257*$G257*$M257*$DI$12)</f>
        <v>0</v>
      </c>
      <c r="DJ257" s="182"/>
      <c r="DK257" s="182">
        <f>(DJ257*$E257*$F257*$G257*$M257*$DK$12)</f>
        <v>0</v>
      </c>
      <c r="DL257" s="182"/>
      <c r="DM257" s="182">
        <f>(DL257*$E257*$F257*$G257*$N257*$DM$12)</f>
        <v>0</v>
      </c>
      <c r="DN257" s="182"/>
      <c r="DO257" s="190">
        <f>(DN257*$E257*$F257*$G257*$O257*$DO$12)</f>
        <v>0</v>
      </c>
      <c r="DP257" s="187"/>
      <c r="DQ257" s="187"/>
      <c r="DR257" s="183">
        <f t="shared" si="953"/>
        <v>195</v>
      </c>
      <c r="DS257" s="183">
        <f t="shared" si="953"/>
        <v>4910264.2254400011</v>
      </c>
      <c r="DT257" s="182">
        <v>215</v>
      </c>
      <c r="DU257" s="182">
        <v>5415766.3918400016</v>
      </c>
      <c r="DV257" s="167">
        <f t="shared" si="817"/>
        <v>-20</v>
      </c>
      <c r="DW257" s="167">
        <f t="shared" si="817"/>
        <v>-505502.16640000045</v>
      </c>
    </row>
    <row r="258" spans="1:127" ht="18.75" x14ac:dyDescent="0.25">
      <c r="A258" s="154"/>
      <c r="B258" s="176">
        <v>222</v>
      </c>
      <c r="C258" s="177" t="s">
        <v>599</v>
      </c>
      <c r="D258" s="210" t="s">
        <v>600</v>
      </c>
      <c r="E258" s="158">
        <v>25969</v>
      </c>
      <c r="F258" s="179">
        <v>1.07</v>
      </c>
      <c r="G258" s="243">
        <v>0.8</v>
      </c>
      <c r="H258" s="243"/>
      <c r="I258" s="243"/>
      <c r="J258" s="243"/>
      <c r="K258" s="106"/>
      <c r="L258" s="180">
        <v>1.4</v>
      </c>
      <c r="M258" s="180">
        <v>1.68</v>
      </c>
      <c r="N258" s="180">
        <v>2.23</v>
      </c>
      <c r="O258" s="181">
        <v>2.57</v>
      </c>
      <c r="P258" s="182"/>
      <c r="Q258" s="182">
        <f>(P258*$E258*$F258*$G258*$L258*$Q$12)</f>
        <v>0</v>
      </c>
      <c r="R258" s="182"/>
      <c r="S258" s="182">
        <f>(R258*$E258*$F258*$G258*$L258*$S$12)</f>
        <v>0</v>
      </c>
      <c r="T258" s="182"/>
      <c r="U258" s="182">
        <f t="shared" si="948"/>
        <v>0</v>
      </c>
      <c r="V258" s="182"/>
      <c r="W258" s="183">
        <f t="shared" si="949"/>
        <v>0</v>
      </c>
      <c r="X258" s="183"/>
      <c r="Y258" s="183">
        <v>0</v>
      </c>
      <c r="Z258" s="183"/>
      <c r="AA258" s="183">
        <v>0</v>
      </c>
      <c r="AB258" s="182">
        <f t="shared" si="950"/>
        <v>0</v>
      </c>
      <c r="AC258" s="182">
        <f t="shared" si="950"/>
        <v>0</v>
      </c>
      <c r="AD258" s="182"/>
      <c r="AE258" s="182">
        <f>(AD258*$E258*$F258*$G258*$L258*$AE$12)</f>
        <v>0</v>
      </c>
      <c r="AF258" s="261">
        <v>6</v>
      </c>
      <c r="AG258" s="183">
        <f>(AF258*$E258*$F258*$G258*$L258*$AG$12)</f>
        <v>205400.24736000001</v>
      </c>
      <c r="AH258" s="182"/>
      <c r="AI258" s="182">
        <f>(AH258*$E258*$F258*$G258*$L258*$AI$12)</f>
        <v>0</v>
      </c>
      <c r="AJ258" s="182"/>
      <c r="AK258" s="182"/>
      <c r="AL258" s="182"/>
      <c r="AM258" s="182"/>
      <c r="AN258" s="184"/>
      <c r="AO258" s="182">
        <f>(AN258*$E258*$F258*$G258*$L258*$AO$12)</f>
        <v>0</v>
      </c>
      <c r="AP258" s="182">
        <v>80</v>
      </c>
      <c r="AQ258" s="183">
        <f>(AP258*$E258*$F258*$G258*$L258*$AQ$12)</f>
        <v>2738669.9648000002</v>
      </c>
      <c r="AR258" s="182"/>
      <c r="AS258" s="182">
        <f t="shared" si="951"/>
        <v>0</v>
      </c>
      <c r="AT258" s="182"/>
      <c r="AU258" s="182">
        <f>(AT258*$E258*$F258*$G258*$M258*$AU$12)</f>
        <v>0</v>
      </c>
      <c r="AV258" s="188"/>
      <c r="AW258" s="182">
        <f>(AV258*$E258*$F258*$G258*$M258*$AW$12)</f>
        <v>0</v>
      </c>
      <c r="AX258" s="182"/>
      <c r="AY258" s="187">
        <f>(AX258*$E258*$F258*$G258*$M258*$AY$12)</f>
        <v>0</v>
      </c>
      <c r="AZ258" s="182"/>
      <c r="BA258" s="182">
        <f>(AZ258*$E258*$F258*$G258*$L258*$BA$12)</f>
        <v>0</v>
      </c>
      <c r="BB258" s="182"/>
      <c r="BC258" s="182">
        <f>(BB258*$E258*$F258*$G258*$L258*$BC$12)</f>
        <v>0</v>
      </c>
      <c r="BD258" s="182"/>
      <c r="BE258" s="182">
        <f>(BD258*$E258*$F258*$G258*$L258*$BE$12)</f>
        <v>0</v>
      </c>
      <c r="BF258" s="182"/>
      <c r="BG258" s="182">
        <f>(BF258*$E258*$F258*$G258*$L258*$BG$12)</f>
        <v>0</v>
      </c>
      <c r="BH258" s="182"/>
      <c r="BI258" s="183">
        <f>(BH258*$E258*$F258*$G258*$L258*$BI$12)</f>
        <v>0</v>
      </c>
      <c r="BJ258" s="182"/>
      <c r="BK258" s="183">
        <f>(BJ258*$E258*$F258*$G258*$L258*$BK$12)</f>
        <v>0</v>
      </c>
      <c r="BL258" s="182"/>
      <c r="BM258" s="182">
        <f>(BL258*$E258*$F258*$G258*$L258*$BM$12)</f>
        <v>0</v>
      </c>
      <c r="BN258" s="182"/>
      <c r="BO258" s="182">
        <f>(BN258*$E258*$F258*$G258*$M258*$BO$12)</f>
        <v>0</v>
      </c>
      <c r="BP258" s="182"/>
      <c r="BQ258" s="182">
        <f>(BP258*$E258*$F258*$G258*$M258*$BQ$12)</f>
        <v>0</v>
      </c>
      <c r="BR258" s="182"/>
      <c r="BS258" s="183">
        <f>(BR258*$E258*$F258*$G258*$M258*$BS$12)</f>
        <v>0</v>
      </c>
      <c r="BT258" s="182"/>
      <c r="BU258" s="182">
        <f>(BT258*$E258*$F258*$G258*$M258*$BU$12)</f>
        <v>0</v>
      </c>
      <c r="BV258" s="182"/>
      <c r="BW258" s="182">
        <f>(BV258*$E258*$F258*$G258*$M258*$BW$12)</f>
        <v>0</v>
      </c>
      <c r="BX258" s="182"/>
      <c r="BY258" s="183">
        <f>(BX258*$E258*$F258*$G258*$M258*$BY$12)</f>
        <v>0</v>
      </c>
      <c r="BZ258" s="182"/>
      <c r="CA258" s="187">
        <f>(BZ258*$E258*$F258*$G258*$M258*$CA$12)</f>
        <v>0</v>
      </c>
      <c r="CB258" s="182"/>
      <c r="CC258" s="182">
        <f>(CB258*$E258*$F258*$G258*$L258*$CC$12)</f>
        <v>0</v>
      </c>
      <c r="CD258" s="182"/>
      <c r="CE258" s="182">
        <f>(CD258*$E258*$F258*$G258*$L258*$CE$12)</f>
        <v>0</v>
      </c>
      <c r="CF258" s="182"/>
      <c r="CG258" s="182">
        <f>(CF258*$E258*$F258*$G258*$L258*$CG$12)</f>
        <v>0</v>
      </c>
      <c r="CH258" s="182"/>
      <c r="CI258" s="182">
        <f>(CH258*$E258*$F258*$G258*$M258*$CI$12)</f>
        <v>0</v>
      </c>
      <c r="CJ258" s="182"/>
      <c r="CK258" s="182"/>
      <c r="CL258" s="182"/>
      <c r="CM258" s="183">
        <f>(CL258*$E258*$F258*$G258*$L258*$CM$12)</f>
        <v>0</v>
      </c>
      <c r="CN258" s="182"/>
      <c r="CO258" s="183">
        <f>(CN258*$E258*$F258*$G258*$L258*$CO$12)</f>
        <v>0</v>
      </c>
      <c r="CP258" s="182"/>
      <c r="CQ258" s="182">
        <f>(CP258*$E258*$F258*$G258*$L258*$CQ$12)</f>
        <v>0</v>
      </c>
      <c r="CR258" s="182"/>
      <c r="CS258" s="182">
        <f>(CR258*$E258*$F258*$G258*$L258*$CS$12)</f>
        <v>0</v>
      </c>
      <c r="CT258" s="182"/>
      <c r="CU258" s="182">
        <f>(CT258*$E258*$F258*$G258*$L258*$CU$12)</f>
        <v>0</v>
      </c>
      <c r="CV258" s="182"/>
      <c r="CW258" s="182">
        <v>0</v>
      </c>
      <c r="CX258" s="182"/>
      <c r="CY258" s="182">
        <f>(CX258*$E258*$F258*$G258*$M258*$CY$12)</f>
        <v>0</v>
      </c>
      <c r="CZ258" s="182"/>
      <c r="DA258" s="182">
        <v>0</v>
      </c>
      <c r="DB258" s="188">
        <v>22</v>
      </c>
      <c r="DC258" s="182">
        <f>(DB258*$E258*$F258*$G258*$M258*$DC$12)</f>
        <v>739440.89049600007</v>
      </c>
      <c r="DD258" s="182"/>
      <c r="DE258" s="187">
        <f t="shared" si="952"/>
        <v>0</v>
      </c>
      <c r="DF258" s="182"/>
      <c r="DG258" s="182">
        <f>(DF258*$E258*$F258*$G258*$M258*$DG$12)</f>
        <v>0</v>
      </c>
      <c r="DH258" s="189"/>
      <c r="DI258" s="182">
        <f>(DH258*$E258*$F258*$G258*$M258*$DI$12)</f>
        <v>0</v>
      </c>
      <c r="DJ258" s="182"/>
      <c r="DK258" s="182">
        <f>(DJ258*$E258*$F258*$G258*$M258*$DK$12)</f>
        <v>0</v>
      </c>
      <c r="DL258" s="182"/>
      <c r="DM258" s="182">
        <f>(DL258*$E258*$F258*$G258*$N258*$DM$12)</f>
        <v>0</v>
      </c>
      <c r="DN258" s="182"/>
      <c r="DO258" s="190">
        <f>(DN258*$E258*$F258*$G258*$O258*$DO$12)</f>
        <v>0</v>
      </c>
      <c r="DP258" s="187"/>
      <c r="DQ258" s="187"/>
      <c r="DR258" s="183">
        <f t="shared" si="953"/>
        <v>108</v>
      </c>
      <c r="DS258" s="183">
        <f t="shared" si="953"/>
        <v>3683511.1026560003</v>
      </c>
      <c r="DT258" s="182">
        <v>122</v>
      </c>
      <c r="DU258" s="182">
        <v>4162778.3464960004</v>
      </c>
      <c r="DV258" s="167">
        <f t="shared" si="817"/>
        <v>-14</v>
      </c>
      <c r="DW258" s="167">
        <f t="shared" si="817"/>
        <v>-479267.24384000013</v>
      </c>
    </row>
    <row r="259" spans="1:127" ht="18.75" x14ac:dyDescent="0.25">
      <c r="A259" s="154"/>
      <c r="B259" s="176">
        <v>223</v>
      </c>
      <c r="C259" s="177" t="s">
        <v>601</v>
      </c>
      <c r="D259" s="210" t="s">
        <v>602</v>
      </c>
      <c r="E259" s="158">
        <v>25969</v>
      </c>
      <c r="F259" s="179">
        <v>1.19</v>
      </c>
      <c r="G259" s="243">
        <v>0.8</v>
      </c>
      <c r="H259" s="243"/>
      <c r="I259" s="243"/>
      <c r="J259" s="243"/>
      <c r="K259" s="106"/>
      <c r="L259" s="180">
        <v>1.4</v>
      </c>
      <c r="M259" s="180">
        <v>1.68</v>
      </c>
      <c r="N259" s="180">
        <v>2.23</v>
      </c>
      <c r="O259" s="181">
        <v>2.57</v>
      </c>
      <c r="P259" s="182"/>
      <c r="Q259" s="182">
        <f>(P259*$E259*$F259*$G259*$L259)</f>
        <v>0</v>
      </c>
      <c r="R259" s="182"/>
      <c r="S259" s="187">
        <f>(R259*$E259*$F259*$G259*$L259)</f>
        <v>0</v>
      </c>
      <c r="T259" s="182"/>
      <c r="U259" s="182">
        <f>(T259*$E259*$F259*$G259*$L259)</f>
        <v>0</v>
      </c>
      <c r="V259" s="182"/>
      <c r="W259" s="182">
        <f>(V259*$E259*$F259*$G259*$L259)</f>
        <v>0</v>
      </c>
      <c r="X259" s="182"/>
      <c r="Y259" s="182">
        <v>0</v>
      </c>
      <c r="Z259" s="182"/>
      <c r="AA259" s="182">
        <v>0</v>
      </c>
      <c r="AB259" s="182">
        <f t="shared" si="950"/>
        <v>0</v>
      </c>
      <c r="AC259" s="182">
        <f t="shared" si="950"/>
        <v>0</v>
      </c>
      <c r="AD259" s="182"/>
      <c r="AE259" s="182">
        <f>(AD259*$E259*$F259*$G259*$L259)</f>
        <v>0</v>
      </c>
      <c r="AF259" s="261">
        <v>3</v>
      </c>
      <c r="AG259" s="182">
        <f>(AF259*$E259*$F259*$G259*$L259)</f>
        <v>103834.44960000001</v>
      </c>
      <c r="AH259" s="182"/>
      <c r="AI259" s="182">
        <f>(AH259*$E259*$F259*$G259*$L259)</f>
        <v>0</v>
      </c>
      <c r="AJ259" s="182"/>
      <c r="AK259" s="182"/>
      <c r="AL259" s="182"/>
      <c r="AM259" s="182"/>
      <c r="AN259" s="184"/>
      <c r="AO259" s="182">
        <f>(AN259*$E259*$F259*$G259*$L259)</f>
        <v>0</v>
      </c>
      <c r="AP259" s="182">
        <v>130</v>
      </c>
      <c r="AQ259" s="182">
        <f>(AP259*$E259*$F259*$G259*$L259)</f>
        <v>4499492.8159999996</v>
      </c>
      <c r="AR259" s="182"/>
      <c r="AS259" s="182">
        <f>(AR259*$E259*$F259*$G259*$L259)</f>
        <v>0</v>
      </c>
      <c r="AT259" s="182"/>
      <c r="AU259" s="183">
        <f>(AT259*$E259*$F259*$G259*$M259)</f>
        <v>0</v>
      </c>
      <c r="AV259" s="188"/>
      <c r="AW259" s="182">
        <f>(AV259*$E259*$F259*$G259*$M259)</f>
        <v>0</v>
      </c>
      <c r="AX259" s="182"/>
      <c r="AY259" s="187">
        <f>(AX259*$E259*$F259*$G259*$M259)</f>
        <v>0</v>
      </c>
      <c r="AZ259" s="182"/>
      <c r="BA259" s="182">
        <f>(AZ259*$E259*$F259*$G259*$L259*$AO$12)</f>
        <v>0</v>
      </c>
      <c r="BB259" s="182"/>
      <c r="BC259" s="182">
        <f>(BB259*$E259*$F259*$G259*$L259*BC$12)</f>
        <v>0</v>
      </c>
      <c r="BD259" s="182"/>
      <c r="BE259" s="182">
        <f>(BD259*$E259*$F259*$G259*$L259*BE$12)</f>
        <v>0</v>
      </c>
      <c r="BF259" s="182"/>
      <c r="BG259" s="182">
        <f>(BF259*$E259*$F259*$G259*$L259)</f>
        <v>0</v>
      </c>
      <c r="BH259" s="182"/>
      <c r="BI259" s="182">
        <f t="shared" ref="BI259" si="954">(BH259*$E259*$F259*$G259*$L259)</f>
        <v>0</v>
      </c>
      <c r="BJ259" s="182"/>
      <c r="BK259" s="182"/>
      <c r="BL259" s="182"/>
      <c r="BM259" s="182">
        <f>(BL259*$E259*$F259*$G259*$L259)</f>
        <v>0</v>
      </c>
      <c r="BN259" s="182"/>
      <c r="BO259" s="182">
        <f>(BN259*$E259*$F259*$G259*$M259)</f>
        <v>0</v>
      </c>
      <c r="BP259" s="182"/>
      <c r="BQ259" s="182">
        <f>(BP259*$E259*$F259*$G259*$M259)</f>
        <v>0</v>
      </c>
      <c r="BR259" s="182"/>
      <c r="BS259" s="182">
        <f>(BR259*$E259*$F259*$G259*$M259)</f>
        <v>0</v>
      </c>
      <c r="BT259" s="182"/>
      <c r="BU259" s="182">
        <f>(BT259*$E259*$F259*$G259*$M259)</f>
        <v>0</v>
      </c>
      <c r="BV259" s="182"/>
      <c r="BW259" s="182">
        <f>(BV259*$E259*$F259*$G259*$M259)</f>
        <v>0</v>
      </c>
      <c r="BX259" s="182"/>
      <c r="BY259" s="182">
        <f>(BX259*$E259*$F259*$G259*$M259)</f>
        <v>0</v>
      </c>
      <c r="BZ259" s="182"/>
      <c r="CA259" s="187">
        <f>(BZ259*$E259*$F259*$G259*$M259)</f>
        <v>0</v>
      </c>
      <c r="CB259" s="182"/>
      <c r="CC259" s="182">
        <f>(CB259*$E259*$F259*$G259*$L259)</f>
        <v>0</v>
      </c>
      <c r="CD259" s="182"/>
      <c r="CE259" s="183">
        <f>(CD259*$E259*$F259*$G259*$L259)</f>
        <v>0</v>
      </c>
      <c r="CF259" s="182"/>
      <c r="CG259" s="182">
        <f>(CF259*$E259*$F259*$G259*$L259)</f>
        <v>0</v>
      </c>
      <c r="CH259" s="182"/>
      <c r="CI259" s="182">
        <f>(CH259*$E259*$F259*$G259*$M259)</f>
        <v>0</v>
      </c>
      <c r="CJ259" s="182"/>
      <c r="CK259" s="182"/>
      <c r="CL259" s="182"/>
      <c r="CM259" s="182">
        <f>(CL259*$E259*$F259*$G259*$L259)</f>
        <v>0</v>
      </c>
      <c r="CN259" s="182"/>
      <c r="CO259" s="182">
        <f>(CN259*$E259*$F259*$G259*$L259)</f>
        <v>0</v>
      </c>
      <c r="CP259" s="182"/>
      <c r="CQ259" s="182">
        <f>(CP259*$E259*$F259*$G259*$L259)</f>
        <v>0</v>
      </c>
      <c r="CR259" s="182"/>
      <c r="CS259" s="182">
        <f>(CR259*$E259*$F259*$G259*$L259)</f>
        <v>0</v>
      </c>
      <c r="CT259" s="182"/>
      <c r="CU259" s="182">
        <f>(CT259*$E259*$F259*$G259*$L259)</f>
        <v>0</v>
      </c>
      <c r="CV259" s="182"/>
      <c r="CW259" s="182">
        <v>0</v>
      </c>
      <c r="CX259" s="182"/>
      <c r="CY259" s="182">
        <f>(CX259*$E259*$F259*$G259*$M259)</f>
        <v>0</v>
      </c>
      <c r="CZ259" s="182"/>
      <c r="DA259" s="182">
        <v>0</v>
      </c>
      <c r="DB259" s="188">
        <v>100</v>
      </c>
      <c r="DC259" s="182">
        <f>(DB259*$E259*$F259*$G259*$M259)</f>
        <v>4153377.9840000002</v>
      </c>
      <c r="DD259" s="182"/>
      <c r="DE259" s="187">
        <f>(DD259*$E259*$F259*$G259*$M259)</f>
        <v>0</v>
      </c>
      <c r="DF259" s="182"/>
      <c r="DG259" s="182"/>
      <c r="DH259" s="189"/>
      <c r="DI259" s="182">
        <f>(DH259*$E259*$F259*$G259*$M259)</f>
        <v>0</v>
      </c>
      <c r="DJ259" s="182"/>
      <c r="DK259" s="182">
        <f>(DJ259*$E259*$F259*$G259*$M259)</f>
        <v>0</v>
      </c>
      <c r="DL259" s="182"/>
      <c r="DM259" s="182">
        <f>(DL259*$E259*$F259*$G259*$N259)</f>
        <v>0</v>
      </c>
      <c r="DN259" s="182"/>
      <c r="DO259" s="187">
        <f>(DN259*$E259*$F259*$G259*$O259)</f>
        <v>0</v>
      </c>
      <c r="DP259" s="187"/>
      <c r="DQ259" s="187"/>
      <c r="DR259" s="183">
        <f t="shared" si="953"/>
        <v>233</v>
      </c>
      <c r="DS259" s="183">
        <f t="shared" si="953"/>
        <v>8756705.2496000007</v>
      </c>
      <c r="DT259" s="182">
        <v>260</v>
      </c>
      <c r="DU259" s="182">
        <v>9691215.2960000001</v>
      </c>
      <c r="DV259" s="167">
        <f t="shared" si="817"/>
        <v>-27</v>
      </c>
      <c r="DW259" s="167">
        <f t="shared" si="817"/>
        <v>-934510.04639999941</v>
      </c>
    </row>
    <row r="260" spans="1:127" ht="18.75" x14ac:dyDescent="0.25">
      <c r="A260" s="154"/>
      <c r="B260" s="176">
        <v>224</v>
      </c>
      <c r="C260" s="177" t="s">
        <v>603</v>
      </c>
      <c r="D260" s="210" t="s">
        <v>604</v>
      </c>
      <c r="E260" s="158">
        <v>25969</v>
      </c>
      <c r="F260" s="179">
        <v>2.11</v>
      </c>
      <c r="G260" s="243">
        <v>1</v>
      </c>
      <c r="H260" s="242"/>
      <c r="I260" s="242"/>
      <c r="J260" s="242"/>
      <c r="K260" s="106"/>
      <c r="L260" s="180">
        <v>1.4</v>
      </c>
      <c r="M260" s="180">
        <v>1.68</v>
      </c>
      <c r="N260" s="180">
        <v>2.23</v>
      </c>
      <c r="O260" s="181">
        <v>2.57</v>
      </c>
      <c r="P260" s="182"/>
      <c r="Q260" s="182">
        <f>(P260*$E260*$F260*$G260*$L260*$Q$12)</f>
        <v>0</v>
      </c>
      <c r="R260" s="182"/>
      <c r="S260" s="182">
        <f>(R260*$E260*$F260*$G260*$L260*$S$12)</f>
        <v>0</v>
      </c>
      <c r="T260" s="182"/>
      <c r="U260" s="182">
        <f t="shared" ref="U260" si="955">(T260/12*11*$E260*$F260*$G260*$L260*$U$12)+(T260/12*1*$E260*$F260*$G260*$L260*$U$14)</f>
        <v>0</v>
      </c>
      <c r="V260" s="182"/>
      <c r="W260" s="183">
        <f>(V260*$E260*$F260*$G260*$L260*$W$12)/12*10+(V260*$E260*$F260*$G260*$L260*$W$13)/12*1++(V260*$E260*$F260*$G260*$L260*$W$14)/12*1</f>
        <v>0</v>
      </c>
      <c r="X260" s="183"/>
      <c r="Y260" s="183">
        <v>0</v>
      </c>
      <c r="Z260" s="183"/>
      <c r="AA260" s="183">
        <v>0</v>
      </c>
      <c r="AB260" s="182">
        <f t="shared" si="950"/>
        <v>0</v>
      </c>
      <c r="AC260" s="182">
        <f t="shared" si="950"/>
        <v>0</v>
      </c>
      <c r="AD260" s="182"/>
      <c r="AE260" s="182">
        <f>(AD260*$E260*$F260*$G260*$L260*$AE$12)</f>
        <v>0</v>
      </c>
      <c r="AF260" s="261">
        <v>21</v>
      </c>
      <c r="AG260" s="183">
        <f>(AF260*$E260*$F260*$G260*$L260*$AG$12)</f>
        <v>1772057.0405999999</v>
      </c>
      <c r="AH260" s="182"/>
      <c r="AI260" s="182">
        <f>(AH260*$E260*$F260*$G260*$L260*$AI$12)</f>
        <v>0</v>
      </c>
      <c r="AJ260" s="182"/>
      <c r="AK260" s="182"/>
      <c r="AL260" s="182"/>
      <c r="AM260" s="182"/>
      <c r="AN260" s="184"/>
      <c r="AO260" s="182">
        <f>(AN260*$E260*$F260*$G260*$L260*$AO$12)</f>
        <v>0</v>
      </c>
      <c r="AP260" s="182">
        <f>80+15</f>
        <v>95</v>
      </c>
      <c r="AQ260" s="183">
        <f>(AP260*$E260*$F260*$G260*$L260*$AQ$12)</f>
        <v>8016448.517</v>
      </c>
      <c r="AR260" s="182"/>
      <c r="AS260" s="182">
        <f>(AR260*$E260*$F260*$G260*$L260*$AS$12)/12*10+(AR260*$E260*$F260*$G260*$L260*$AS$13)/12*1+(AR260*$E260*$F260*$G260*$L260*$AS$14)/12*1</f>
        <v>0</v>
      </c>
      <c r="AT260" s="182"/>
      <c r="AU260" s="182">
        <f>(AT260*$E260*$F260*$G260*$M260*$AU$12)</f>
        <v>0</v>
      </c>
      <c r="AV260" s="188"/>
      <c r="AW260" s="182">
        <f>(AV260*$E260*$F260*$G260*$M260*$AW$12)</f>
        <v>0</v>
      </c>
      <c r="AX260" s="182"/>
      <c r="AY260" s="187">
        <f>(AX260*$E260*$F260*$G260*$M260*$AY$12)</f>
        <v>0</v>
      </c>
      <c r="AZ260" s="182"/>
      <c r="BA260" s="182">
        <f>(AZ260*$E260*$F260*$G260*$L260*$BA$12)</f>
        <v>0</v>
      </c>
      <c r="BB260" s="182">
        <v>0</v>
      </c>
      <c r="BC260" s="182">
        <f>(BB260*$E260*$F260*$G260*$L260*$BC$12)</f>
        <v>0</v>
      </c>
      <c r="BD260" s="182"/>
      <c r="BE260" s="182">
        <f>(BD260*$E260*$F260*$G260*$L260*$BE$12)</f>
        <v>0</v>
      </c>
      <c r="BF260" s="182"/>
      <c r="BG260" s="182">
        <f>(BF260*$E260*$F260*$G260*$L260*$BG$12)</f>
        <v>0</v>
      </c>
      <c r="BH260" s="182"/>
      <c r="BI260" s="183">
        <f>(BH260*$E260*$F260*$G260*$L260*$BI$12)</f>
        <v>0</v>
      </c>
      <c r="BJ260" s="182"/>
      <c r="BK260" s="183">
        <f>(BJ260*$E260*$F260*$G260*$L260*$BK$12)</f>
        <v>0</v>
      </c>
      <c r="BL260" s="182"/>
      <c r="BM260" s="182">
        <f>(BL260*$E260*$F260*$G260*$L260*$BM$12)</f>
        <v>0</v>
      </c>
      <c r="BN260" s="182"/>
      <c r="BO260" s="182">
        <f>(BN260*$E260*$F260*$G260*$M260*$BO$12)</f>
        <v>0</v>
      </c>
      <c r="BP260" s="182"/>
      <c r="BQ260" s="182">
        <f>(BP260*$E260*$F260*$G260*$M260*$BQ$12)</f>
        <v>0</v>
      </c>
      <c r="BR260" s="182"/>
      <c r="BS260" s="183">
        <f>(BR260*$E260*$F260*$G260*$M260*$BS$12)</f>
        <v>0</v>
      </c>
      <c r="BT260" s="182"/>
      <c r="BU260" s="182">
        <f>(BT260*$E260*$F260*$G260*$M260*$BU$12)</f>
        <v>0</v>
      </c>
      <c r="BV260" s="182"/>
      <c r="BW260" s="182">
        <f>(BV260*$E260*$F260*$G260*$M260*$BW$12)</f>
        <v>0</v>
      </c>
      <c r="BX260" s="182"/>
      <c r="BY260" s="183">
        <f>(BX260*$E260*$F260*$G260*$M260*$BY$12)</f>
        <v>0</v>
      </c>
      <c r="BZ260" s="182"/>
      <c r="CA260" s="187">
        <f>(BZ260*$E260*$F260*$G260*$M260*$CA$12)</f>
        <v>0</v>
      </c>
      <c r="CB260" s="182"/>
      <c r="CC260" s="182">
        <f>(CB260*$E260*$F260*$G260*$L260*$CC$12)</f>
        <v>0</v>
      </c>
      <c r="CD260" s="182"/>
      <c r="CE260" s="182">
        <f>(CD260*$E260*$F260*$G260*$L260*$CE$12)</f>
        <v>0</v>
      </c>
      <c r="CF260" s="182"/>
      <c r="CG260" s="182">
        <f>(CF260*$E260*$F260*$G260*$L260*$CG$12)</f>
        <v>0</v>
      </c>
      <c r="CH260" s="182"/>
      <c r="CI260" s="182">
        <f>(CH260*$E260*$F260*$G260*$M260*$CI$12)</f>
        <v>0</v>
      </c>
      <c r="CJ260" s="182"/>
      <c r="CK260" s="182"/>
      <c r="CL260" s="182"/>
      <c r="CM260" s="183">
        <f>(CL260*$E260*$F260*$G260*$L260*$CM$12)</f>
        <v>0</v>
      </c>
      <c r="CN260" s="182"/>
      <c r="CO260" s="183">
        <f>(CN260*$E260*$F260*$G260*$L260*$CO$12)</f>
        <v>0</v>
      </c>
      <c r="CP260" s="182"/>
      <c r="CQ260" s="182">
        <f>(CP260*$E260*$F260*$G260*$L260*$CQ$12)</f>
        <v>0</v>
      </c>
      <c r="CR260" s="182"/>
      <c r="CS260" s="182">
        <f>(CR260*$E260*$F260*$G260*$L260*$CS$12)</f>
        <v>0</v>
      </c>
      <c r="CT260" s="182"/>
      <c r="CU260" s="182">
        <f>(CT260*$E260*$F260*$G260*$L260*$CU$12)</f>
        <v>0</v>
      </c>
      <c r="CV260" s="182"/>
      <c r="CW260" s="182">
        <v>0</v>
      </c>
      <c r="CX260" s="182"/>
      <c r="CY260" s="182">
        <f>(CX260*$E260*$F260*$G260*$M260*$CY$12)</f>
        <v>0</v>
      </c>
      <c r="CZ260" s="182"/>
      <c r="DA260" s="182">
        <v>0</v>
      </c>
      <c r="DB260" s="188">
        <v>3</v>
      </c>
      <c r="DC260" s="182">
        <f>(DB260*$E260*$F260*$G260*$M260*$DC$12)</f>
        <v>248548.26023999997</v>
      </c>
      <c r="DD260" s="182"/>
      <c r="DE260" s="187">
        <f>(DD260*$E260*$F260*$G260*$M260*DE$12)</f>
        <v>0</v>
      </c>
      <c r="DF260" s="182"/>
      <c r="DG260" s="182">
        <f>(DF260*$E260*$F260*$G260*$M260*$DG$12)</f>
        <v>0</v>
      </c>
      <c r="DH260" s="189"/>
      <c r="DI260" s="182">
        <f>(DH260*$E260*$F260*$G260*$M260*$DI$12)</f>
        <v>0</v>
      </c>
      <c r="DJ260" s="182"/>
      <c r="DK260" s="182">
        <f>(DJ260*$E260*$F260*$G260*$M260*$DK$12)</f>
        <v>0</v>
      </c>
      <c r="DL260" s="182"/>
      <c r="DM260" s="182">
        <f>(DL260*$E260*$F260*$G260*$N260*$DM$12)</f>
        <v>0</v>
      </c>
      <c r="DN260" s="182"/>
      <c r="DO260" s="190">
        <f>(DN260*$E260*$F260*$G260*$O260*$DO$12)</f>
        <v>0</v>
      </c>
      <c r="DP260" s="187"/>
      <c r="DQ260" s="187"/>
      <c r="DR260" s="183">
        <f t="shared" si="953"/>
        <v>119</v>
      </c>
      <c r="DS260" s="183">
        <f t="shared" si="953"/>
        <v>10037053.817839999</v>
      </c>
      <c r="DT260" s="182">
        <v>98</v>
      </c>
      <c r="DU260" s="182">
        <v>8264996.7772399997</v>
      </c>
      <c r="DV260" s="167">
        <f t="shared" si="817"/>
        <v>21</v>
      </c>
      <c r="DW260" s="167">
        <f t="shared" si="817"/>
        <v>1772057.040599999</v>
      </c>
    </row>
    <row r="261" spans="1:127" ht="18.75" customHeight="1" x14ac:dyDescent="0.25">
      <c r="A261" s="154"/>
      <c r="B261" s="176">
        <v>225</v>
      </c>
      <c r="C261" s="177" t="s">
        <v>605</v>
      </c>
      <c r="D261" s="210" t="s">
        <v>606</v>
      </c>
      <c r="E261" s="158">
        <v>25969</v>
      </c>
      <c r="F261" s="179">
        <v>3.29</v>
      </c>
      <c r="G261" s="243">
        <v>0.8</v>
      </c>
      <c r="H261" s="243"/>
      <c r="I261" s="243"/>
      <c r="J261" s="243"/>
      <c r="K261" s="106"/>
      <c r="L261" s="180">
        <v>1.4</v>
      </c>
      <c r="M261" s="180">
        <v>1.68</v>
      </c>
      <c r="N261" s="180">
        <v>2.23</v>
      </c>
      <c r="O261" s="181">
        <v>2.57</v>
      </c>
      <c r="P261" s="182"/>
      <c r="Q261" s="182">
        <f>(P261*$E261*$F261*$G261*$L261)</f>
        <v>0</v>
      </c>
      <c r="R261" s="182"/>
      <c r="S261" s="187">
        <f>(R261*$E261*$F261*$G261*$L261)</f>
        <v>0</v>
      </c>
      <c r="T261" s="182"/>
      <c r="U261" s="182">
        <f>(T261*$E261*$F261*$G261*$L261)</f>
        <v>0</v>
      </c>
      <c r="V261" s="182"/>
      <c r="W261" s="182">
        <f>(V261*$E261*$F261*$G261*$L261)</f>
        <v>0</v>
      </c>
      <c r="X261" s="182"/>
      <c r="Y261" s="182">
        <v>0</v>
      </c>
      <c r="Z261" s="182"/>
      <c r="AA261" s="182">
        <v>0</v>
      </c>
      <c r="AB261" s="182">
        <f t="shared" si="950"/>
        <v>0</v>
      </c>
      <c r="AC261" s="182">
        <f t="shared" si="950"/>
        <v>0</v>
      </c>
      <c r="AD261" s="182"/>
      <c r="AE261" s="182">
        <f>(AD261*$E261*$F261*$G261*$L261)</f>
        <v>0</v>
      </c>
      <c r="AF261" s="261">
        <v>6</v>
      </c>
      <c r="AG261" s="182">
        <f>(AF261*$E261*$F261*$G261*$L261)</f>
        <v>574143.42720000003</v>
      </c>
      <c r="AH261" s="182"/>
      <c r="AI261" s="182">
        <f>(AH261*$E261*$F261*$G261*$L261)</f>
        <v>0</v>
      </c>
      <c r="AJ261" s="182"/>
      <c r="AK261" s="182"/>
      <c r="AL261" s="182"/>
      <c r="AM261" s="182"/>
      <c r="AN261" s="184"/>
      <c r="AO261" s="182">
        <f>(AN261*$E261*$F261*$G261*$L261)</f>
        <v>0</v>
      </c>
      <c r="AP261" s="182">
        <v>14</v>
      </c>
      <c r="AQ261" s="182">
        <f>(AP261*$E261*$F261*$G261*$L261)</f>
        <v>1339667.9967999998</v>
      </c>
      <c r="AR261" s="182"/>
      <c r="AS261" s="182">
        <f>(AR261*$E261*$F261*$G261*$L261)</f>
        <v>0</v>
      </c>
      <c r="AT261" s="182"/>
      <c r="AU261" s="183">
        <f>(AT261*$E261*$F261*$G261*$M261)</f>
        <v>0</v>
      </c>
      <c r="AV261" s="188"/>
      <c r="AW261" s="182">
        <f>(AV261*$E261*$F261*$G261*$M261)</f>
        <v>0</v>
      </c>
      <c r="AX261" s="182"/>
      <c r="AY261" s="187">
        <f>(AX261*$E261*$F261*$G261*$M261)</f>
        <v>0</v>
      </c>
      <c r="AZ261" s="182"/>
      <c r="BA261" s="182">
        <f>(AZ261*$E261*$F261*$G261*$L261*$AO$12)</f>
        <v>0</v>
      </c>
      <c r="BB261" s="182">
        <v>0</v>
      </c>
      <c r="BC261" s="182">
        <f>(BB261*$E261*$F261*$G261*$L261*BC$12)</f>
        <v>0</v>
      </c>
      <c r="BD261" s="182"/>
      <c r="BE261" s="182">
        <f>(BD261*$E261*$F261*$G261*$L261*BE$12)</f>
        <v>0</v>
      </c>
      <c r="BF261" s="182"/>
      <c r="BG261" s="182">
        <f>(BF261*$E261*$F261*$G261*$L261)</f>
        <v>0</v>
      </c>
      <c r="BH261" s="182"/>
      <c r="BI261" s="182">
        <f t="shared" ref="BI261" si="956">(BH261*$E261*$F261*$G261*$L261)</f>
        <v>0</v>
      </c>
      <c r="BJ261" s="182"/>
      <c r="BK261" s="182"/>
      <c r="BL261" s="182"/>
      <c r="BM261" s="182">
        <f>(BL261*$E261*$F261*$G261*$L261)</f>
        <v>0</v>
      </c>
      <c r="BN261" s="182"/>
      <c r="BO261" s="182">
        <f>(BN261*$E261*$F261*$G261*$M261)</f>
        <v>0</v>
      </c>
      <c r="BP261" s="182"/>
      <c r="BQ261" s="182">
        <f>(BP261*$E261*$F261*$G261*$M261)</f>
        <v>0</v>
      </c>
      <c r="BR261" s="182"/>
      <c r="BS261" s="182">
        <f>(BR261*$E261*$F261*$G261*$M261)</f>
        <v>0</v>
      </c>
      <c r="BT261" s="182"/>
      <c r="BU261" s="182">
        <f>(BT261*$E261*$F261*$G261*$M261)</f>
        <v>0</v>
      </c>
      <c r="BV261" s="182"/>
      <c r="BW261" s="182">
        <f>(BV261*$E261*$F261*$G261*$M261)</f>
        <v>0</v>
      </c>
      <c r="BX261" s="182"/>
      <c r="BY261" s="182">
        <f>(BX261*$E261*$F261*$G261*$M261)</f>
        <v>0</v>
      </c>
      <c r="BZ261" s="182"/>
      <c r="CA261" s="187">
        <f>(BZ261*$E261*$F261*$G261*$M261)</f>
        <v>0</v>
      </c>
      <c r="CB261" s="182"/>
      <c r="CC261" s="182">
        <f>(CB261*$E261*$F261*$G261*$L261)</f>
        <v>0</v>
      </c>
      <c r="CD261" s="182"/>
      <c r="CE261" s="183">
        <f>(CD261*$E261*$F261*$G261*$L261)</f>
        <v>0</v>
      </c>
      <c r="CF261" s="182"/>
      <c r="CG261" s="182">
        <f>(CF261*$E261*$F261*$G261*$L261)</f>
        <v>0</v>
      </c>
      <c r="CH261" s="182"/>
      <c r="CI261" s="182">
        <f>(CH261*$E261*$F261*$G261*$M261)</f>
        <v>0</v>
      </c>
      <c r="CJ261" s="182"/>
      <c r="CK261" s="182"/>
      <c r="CL261" s="182"/>
      <c r="CM261" s="182">
        <f>(CL261*$E261*$F261*$G261*$L261)</f>
        <v>0</v>
      </c>
      <c r="CN261" s="182"/>
      <c r="CO261" s="182">
        <f>(CN261*$E261*$F261*$G261*$L261)</f>
        <v>0</v>
      </c>
      <c r="CP261" s="182"/>
      <c r="CQ261" s="182">
        <f>(CP261*$E261*$F261*$G261*$L261)</f>
        <v>0</v>
      </c>
      <c r="CR261" s="182"/>
      <c r="CS261" s="182">
        <f>(CR261*$E261*$F261*$G261*$L261)</f>
        <v>0</v>
      </c>
      <c r="CT261" s="182"/>
      <c r="CU261" s="182">
        <f>(CT261*$E261*$F261*$G261*$L261)</f>
        <v>0</v>
      </c>
      <c r="CV261" s="182"/>
      <c r="CW261" s="182">
        <v>0</v>
      </c>
      <c r="CX261" s="182"/>
      <c r="CY261" s="182">
        <f>(CX261*$E261*$F261*$G261*$M261)</f>
        <v>0</v>
      </c>
      <c r="CZ261" s="182"/>
      <c r="DA261" s="182">
        <v>0</v>
      </c>
      <c r="DB261" s="188"/>
      <c r="DC261" s="182">
        <f>(DB261*$E261*$F261*$G261*$M261)</f>
        <v>0</v>
      </c>
      <c r="DD261" s="182"/>
      <c r="DE261" s="187">
        <f>(DD261*$E261*$F261*$G261*$M261)</f>
        <v>0</v>
      </c>
      <c r="DF261" s="182"/>
      <c r="DG261" s="182"/>
      <c r="DH261" s="189"/>
      <c r="DI261" s="182">
        <f>(DH261*$E261*$F261*$G261*$M261)</f>
        <v>0</v>
      </c>
      <c r="DJ261" s="182"/>
      <c r="DK261" s="182">
        <f>(DJ261*$E261*$F261*$G261*$M261)</f>
        <v>0</v>
      </c>
      <c r="DL261" s="182"/>
      <c r="DM261" s="182">
        <f>(DL261*$E261*$F261*$G261*$N261)</f>
        <v>0</v>
      </c>
      <c r="DN261" s="182"/>
      <c r="DO261" s="187">
        <f>(DN261*$E261*$F261*$G261*$O261)</f>
        <v>0</v>
      </c>
      <c r="DP261" s="187"/>
      <c r="DQ261" s="187"/>
      <c r="DR261" s="183">
        <f t="shared" si="953"/>
        <v>20</v>
      </c>
      <c r="DS261" s="183">
        <f t="shared" si="953"/>
        <v>1913811.4239999999</v>
      </c>
      <c r="DT261" s="182">
        <v>34</v>
      </c>
      <c r="DU261" s="182">
        <v>3253479.4208</v>
      </c>
      <c r="DV261" s="167">
        <f t="shared" si="817"/>
        <v>-14</v>
      </c>
      <c r="DW261" s="167">
        <f t="shared" si="817"/>
        <v>-1339667.9968000001</v>
      </c>
    </row>
    <row r="262" spans="1:127" ht="15" customHeight="1" x14ac:dyDescent="0.25">
      <c r="A262" s="154"/>
      <c r="B262" s="176">
        <v>226</v>
      </c>
      <c r="C262" s="177" t="s">
        <v>607</v>
      </c>
      <c r="D262" s="210" t="s">
        <v>608</v>
      </c>
      <c r="E262" s="158">
        <v>25969</v>
      </c>
      <c r="F262" s="179">
        <v>0.51</v>
      </c>
      <c r="G262" s="168">
        <v>1</v>
      </c>
      <c r="H262" s="169"/>
      <c r="I262" s="169"/>
      <c r="J262" s="169"/>
      <c r="K262" s="106"/>
      <c r="L262" s="180">
        <v>1.4</v>
      </c>
      <c r="M262" s="180">
        <v>1.68</v>
      </c>
      <c r="N262" s="180">
        <v>2.23</v>
      </c>
      <c r="O262" s="181">
        <v>2.57</v>
      </c>
      <c r="P262" s="182"/>
      <c r="Q262" s="182">
        <f>(P262*$E262*$F262*$G262*$L262*$Q$12)</f>
        <v>0</v>
      </c>
      <c r="R262" s="182"/>
      <c r="S262" s="182">
        <f>(R262*$E262*$F262*$G262*$L262*$S$12)</f>
        <v>0</v>
      </c>
      <c r="T262" s="182"/>
      <c r="U262" s="182">
        <f t="shared" ref="U262:U263" si="957">(T262/12*11*$E262*$F262*$G262*$L262*$U$12)+(T262/12*1*$E262*$F262*$G262*$L262*$U$14)</f>
        <v>0</v>
      </c>
      <c r="V262" s="182"/>
      <c r="W262" s="183">
        <f t="shared" ref="W262:W263" si="958">(V262*$E262*$F262*$G262*$L262*$W$12)/12*10+(V262*$E262*$F262*$G262*$L262*$W$13)/12*1++(V262*$E262*$F262*$G262*$L262*$W$14)/12*1</f>
        <v>0</v>
      </c>
      <c r="X262" s="183"/>
      <c r="Y262" s="183">
        <v>0</v>
      </c>
      <c r="Z262" s="183"/>
      <c r="AA262" s="183">
        <v>0</v>
      </c>
      <c r="AB262" s="182">
        <f t="shared" si="950"/>
        <v>0</v>
      </c>
      <c r="AC262" s="182">
        <f t="shared" si="950"/>
        <v>0</v>
      </c>
      <c r="AD262" s="182"/>
      <c r="AE262" s="182">
        <f>(AD262*$E262*$F262*$G262*$L262*$AE$12)</f>
        <v>0</v>
      </c>
      <c r="AF262" s="261">
        <v>23</v>
      </c>
      <c r="AG262" s="183">
        <f>(AF262*$E262*$F262*$G262*$L262*$AG$12)</f>
        <v>469109.20979999995</v>
      </c>
      <c r="AH262" s="182"/>
      <c r="AI262" s="182">
        <f>(AH262*$E262*$F262*$G262*$L262*$AI$12)</f>
        <v>0</v>
      </c>
      <c r="AJ262" s="182"/>
      <c r="AK262" s="182"/>
      <c r="AL262" s="182"/>
      <c r="AM262" s="182"/>
      <c r="AN262" s="184"/>
      <c r="AO262" s="182">
        <f>(AN262*$E262*$F262*$G262*$L262*$AO$12)</f>
        <v>0</v>
      </c>
      <c r="AP262" s="182">
        <v>1570</v>
      </c>
      <c r="AQ262" s="183">
        <f>(AP262*$E262*$F262*$G262*$L262*$AQ$12)</f>
        <v>32021802.582000002</v>
      </c>
      <c r="AR262" s="182"/>
      <c r="AS262" s="182">
        <f t="shared" ref="AS262:AS263" si="959">(AR262*$E262*$F262*$G262*$L262*$AS$12)/12*10+(AR262*$E262*$F262*$G262*$L262*$AS$13)/12*1+(AR262*$E262*$F262*$G262*$L262*$AS$14)/12*1</f>
        <v>0</v>
      </c>
      <c r="AT262" s="182"/>
      <c r="AU262" s="182">
        <f>(AT262*$E262*$F262*$G262*$M262*$AU$12)</f>
        <v>0</v>
      </c>
      <c r="AV262" s="188"/>
      <c r="AW262" s="182">
        <f>(AV262*$E262*$F262*$G262*$M262*$AW$12)</f>
        <v>0</v>
      </c>
      <c r="AX262" s="182"/>
      <c r="AY262" s="187">
        <f>(AX262*$E262*$F262*$G262*$M262*$AY$12)</f>
        <v>0</v>
      </c>
      <c r="AZ262" s="182"/>
      <c r="BA262" s="182">
        <f>(AZ262*$E262*$F262*$G262*$L262*$BA$12)</f>
        <v>0</v>
      </c>
      <c r="BB262" s="182"/>
      <c r="BC262" s="182">
        <f>(BB262*$E262*$F262*$G262*$L262*$BC$12)</f>
        <v>0</v>
      </c>
      <c r="BD262" s="182"/>
      <c r="BE262" s="182">
        <f>(BD262*$E262*$F262*$G262*$L262*$BE$12)</f>
        <v>0</v>
      </c>
      <c r="BF262" s="182"/>
      <c r="BG262" s="182">
        <f>(BF262*$E262*$F262*$G262*$L262*$BG$12)</f>
        <v>0</v>
      </c>
      <c r="BH262" s="182"/>
      <c r="BI262" s="183">
        <f>(BH262*$E262*$F262*$G262*$L262*$BI$12)</f>
        <v>0</v>
      </c>
      <c r="BJ262" s="182"/>
      <c r="BK262" s="183">
        <f>(BJ262*$E262*$F262*$G262*$L262*$BK$12)</f>
        <v>0</v>
      </c>
      <c r="BL262" s="182"/>
      <c r="BM262" s="182">
        <f>(BL262*$E262*$F262*$G262*$L262*$BM$12)</f>
        <v>0</v>
      </c>
      <c r="BN262" s="182"/>
      <c r="BO262" s="182">
        <f>(BN262*$E262*$F262*$G262*$M262*$BO$12)</f>
        <v>0</v>
      </c>
      <c r="BP262" s="182"/>
      <c r="BQ262" s="182">
        <f>(BP262*$E262*$F262*$G262*$M262*$BQ$12)</f>
        <v>0</v>
      </c>
      <c r="BR262" s="182"/>
      <c r="BS262" s="183">
        <f>(BR262*$E262*$F262*$G262*$M262*$BS$12)</f>
        <v>0</v>
      </c>
      <c r="BT262" s="182"/>
      <c r="BU262" s="182">
        <f>(BT262*$E262*$F262*$G262*$M262*$BU$12)</f>
        <v>0</v>
      </c>
      <c r="BV262" s="182">
        <v>2</v>
      </c>
      <c r="BW262" s="182">
        <f>(BV262*$E262*$F262*$G262*$M262*$BW$12)</f>
        <v>40050.430560000001</v>
      </c>
      <c r="BX262" s="182">
        <v>5</v>
      </c>
      <c r="BY262" s="183">
        <f t="shared" ref="BY262:BY263" si="960">(BX262*$E262*$F262*$G262*$M262*$BY$12)/12*11+(BX262*$E262*$F262*$G262*$M262*$BY$12*$BY$15)/12</f>
        <v>150042.26302127997</v>
      </c>
      <c r="BZ262" s="182"/>
      <c r="CA262" s="187">
        <f>(BZ262*$E262*$F262*$G262*$M262*$CA$12)</f>
        <v>0</v>
      </c>
      <c r="CB262" s="182"/>
      <c r="CC262" s="182">
        <f>(CB262*$E262*$F262*$G262*$L262*$CC$12)</f>
        <v>0</v>
      </c>
      <c r="CD262" s="182"/>
      <c r="CE262" s="182">
        <f>(CD262*$E262*$F262*$G262*$L262*$CE$12)</f>
        <v>0</v>
      </c>
      <c r="CF262" s="182"/>
      <c r="CG262" s="182">
        <f>(CF262*$E262*$F262*$G262*$L262*$CG$12)</f>
        <v>0</v>
      </c>
      <c r="CH262" s="182"/>
      <c r="CI262" s="182">
        <f>(CH262*$E262*$F262*$G262*$M262*$CI$12)</f>
        <v>0</v>
      </c>
      <c r="CJ262" s="182"/>
      <c r="CK262" s="182"/>
      <c r="CL262" s="182"/>
      <c r="CM262" s="183">
        <f>(CL262*$E262*$F262*$G262*$L262*$CM$12)</f>
        <v>0</v>
      </c>
      <c r="CN262" s="182"/>
      <c r="CO262" s="183">
        <f>(CN262*$E262*$F262*$G262*$L262*$CO$12)</f>
        <v>0</v>
      </c>
      <c r="CP262" s="182"/>
      <c r="CQ262" s="182">
        <f>(CP262*$E262*$F262*$G262*$L262*$CQ$12)</f>
        <v>0</v>
      </c>
      <c r="CR262" s="182"/>
      <c r="CS262" s="182">
        <f>(CR262*$E262*$F262*$G262*$L262*$CS$12)</f>
        <v>0</v>
      </c>
      <c r="CT262" s="182"/>
      <c r="CU262" s="182">
        <f>(CT262*$E262*$F262*$G262*$L262*$CU$12)</f>
        <v>0</v>
      </c>
      <c r="CV262" s="182"/>
      <c r="CW262" s="182">
        <v>0</v>
      </c>
      <c r="CX262" s="182"/>
      <c r="CY262" s="182">
        <f>(CX262*$E262*$F262*$G262*$M262*$CY$12)</f>
        <v>0</v>
      </c>
      <c r="CZ262" s="182"/>
      <c r="DA262" s="182">
        <v>0</v>
      </c>
      <c r="DB262" s="188">
        <v>910</v>
      </c>
      <c r="DC262" s="182">
        <f>(DB262*$E262*$F262*$G262*$M262*$DC$12)</f>
        <v>18222945.904799998</v>
      </c>
      <c r="DD262" s="182"/>
      <c r="DE262" s="187">
        <f t="shared" ref="DE262:DE263" si="961">(DD262*$E262*$F262*$G262*$M262*DE$12)</f>
        <v>0</v>
      </c>
      <c r="DF262" s="182"/>
      <c r="DG262" s="182">
        <f>(DF262*$E262*$F262*$G262*$M262*$DG$12)</f>
        <v>0</v>
      </c>
      <c r="DH262" s="189"/>
      <c r="DI262" s="182">
        <f>(DH262*$E262*$F262*$G262*$M262*$DI$12)</f>
        <v>0</v>
      </c>
      <c r="DJ262" s="182">
        <v>28</v>
      </c>
      <c r="DK262" s="182">
        <f t="shared" ref="DK262:DK263" si="962">(DJ262/12*11*$E262*$F262*$G262*$M262*$DK$12)+(DJ262/12*1*$E262*$F262*$M262*$G262*$DK$12*$DK$15)</f>
        <v>678885.20665224001</v>
      </c>
      <c r="DL262" s="182">
        <f>ROUND(8*0.75,0)</f>
        <v>6</v>
      </c>
      <c r="DM262" s="182">
        <f>(DL262*$E262*$F262*$G262*$N262*$DM$12)</f>
        <v>177207.2622</v>
      </c>
      <c r="DN262" s="182"/>
      <c r="DO262" s="190">
        <f>(DN262*$E262*$F262*$G262*$O262*$DO$12)</f>
        <v>0</v>
      </c>
      <c r="DP262" s="187"/>
      <c r="DQ262" s="187"/>
      <c r="DR262" s="183">
        <f t="shared" si="953"/>
        <v>2544</v>
      </c>
      <c r="DS262" s="183">
        <f t="shared" si="953"/>
        <v>51760042.859033518</v>
      </c>
      <c r="DT262" s="182">
        <v>2571</v>
      </c>
      <c r="DU262" s="182">
        <v>52238316.942359991</v>
      </c>
      <c r="DV262" s="167">
        <f t="shared" si="817"/>
        <v>-27</v>
      </c>
      <c r="DW262" s="167">
        <f t="shared" si="817"/>
        <v>-478274.08332647383</v>
      </c>
    </row>
    <row r="263" spans="1:127" ht="15.75" customHeight="1" x14ac:dyDescent="0.25">
      <c r="A263" s="154"/>
      <c r="B263" s="176">
        <v>227</v>
      </c>
      <c r="C263" s="177" t="s">
        <v>609</v>
      </c>
      <c r="D263" s="210" t="s">
        <v>610</v>
      </c>
      <c r="E263" s="158">
        <v>25969</v>
      </c>
      <c r="F263" s="179">
        <v>0.66</v>
      </c>
      <c r="G263" s="168">
        <v>1</v>
      </c>
      <c r="H263" s="169"/>
      <c r="I263" s="169"/>
      <c r="J263" s="169"/>
      <c r="K263" s="106"/>
      <c r="L263" s="180">
        <v>1.4</v>
      </c>
      <c r="M263" s="180">
        <v>1.68</v>
      </c>
      <c r="N263" s="180">
        <v>2.23</v>
      </c>
      <c r="O263" s="181">
        <v>2.57</v>
      </c>
      <c r="P263" s="182"/>
      <c r="Q263" s="182">
        <f>(P263*$E263*$F263*$G263*$L263*$Q$12)</f>
        <v>0</v>
      </c>
      <c r="R263" s="182">
        <v>1</v>
      </c>
      <c r="S263" s="182">
        <f>(R263*$E263*$F263*$G263*$L263*$S$12)</f>
        <v>26394.891600000003</v>
      </c>
      <c r="T263" s="182"/>
      <c r="U263" s="182">
        <f t="shared" si="957"/>
        <v>0</v>
      </c>
      <c r="V263" s="182"/>
      <c r="W263" s="183">
        <f t="shared" si="958"/>
        <v>0</v>
      </c>
      <c r="X263" s="183"/>
      <c r="Y263" s="183">
        <v>0</v>
      </c>
      <c r="Z263" s="183"/>
      <c r="AA263" s="183">
        <v>0</v>
      </c>
      <c r="AB263" s="182">
        <f t="shared" si="950"/>
        <v>0</v>
      </c>
      <c r="AC263" s="182">
        <f t="shared" si="950"/>
        <v>0</v>
      </c>
      <c r="AD263" s="182"/>
      <c r="AE263" s="182">
        <f>(AD263*$E263*$F263*$G263*$L263*$AE$12)</f>
        <v>0</v>
      </c>
      <c r="AF263" s="261">
        <v>0</v>
      </c>
      <c r="AG263" s="183">
        <f>(AF263*$E263*$F263*$G263*$L263*$AG$12)</f>
        <v>0</v>
      </c>
      <c r="AH263" s="182"/>
      <c r="AI263" s="182">
        <f>(AH263*$E263*$F263*$G263*$L263*$AI$12)</f>
        <v>0</v>
      </c>
      <c r="AJ263" s="182"/>
      <c r="AK263" s="182"/>
      <c r="AL263" s="182"/>
      <c r="AM263" s="182"/>
      <c r="AN263" s="184"/>
      <c r="AO263" s="182">
        <f>(AN263*$E263*$F263*$G263*$L263*$AO$12)</f>
        <v>0</v>
      </c>
      <c r="AP263" s="182">
        <v>155</v>
      </c>
      <c r="AQ263" s="183">
        <f>(AP263*$E263*$F263*$G263*$L263*$AQ$12)</f>
        <v>4091208.1980000003</v>
      </c>
      <c r="AR263" s="182"/>
      <c r="AS263" s="182">
        <f t="shared" si="959"/>
        <v>0</v>
      </c>
      <c r="AT263" s="182">
        <v>1</v>
      </c>
      <c r="AU263" s="182">
        <f>(AT263*$E263*$F263*$G263*$M263*$AU$12)/12*10+(AT263*$E263*$F263*$G263*$M263*$AU$13)/12+(AT263*$E263*$F263*$G263*$M263*$AU$14*$AU$15)/12</f>
        <v>33182.68350806641</v>
      </c>
      <c r="AV263" s="188"/>
      <c r="AW263" s="182">
        <f>(AV263*$E263*$F263*$G263*$M263*$AW$12)</f>
        <v>0</v>
      </c>
      <c r="AX263" s="182"/>
      <c r="AY263" s="187">
        <f>(AX263*$E263*$F263*$G263*$M263*$AY$12)</f>
        <v>0</v>
      </c>
      <c r="AZ263" s="182"/>
      <c r="BA263" s="182">
        <f>(AZ263*$E263*$F263*$G263*$L263*$BA$12)</f>
        <v>0</v>
      </c>
      <c r="BB263" s="182">
        <v>0</v>
      </c>
      <c r="BC263" s="182">
        <f>(BB263*$E263*$F263*$G263*$L263*$BC$12)</f>
        <v>0</v>
      </c>
      <c r="BD263" s="182"/>
      <c r="BE263" s="182">
        <f>(BD263*$E263*$F263*$G263*$L263*$BE$12)</f>
        <v>0</v>
      </c>
      <c r="BF263" s="182"/>
      <c r="BG263" s="182">
        <f>(BF263*$E263*$F263*$G263*$L263*$BG$12)</f>
        <v>0</v>
      </c>
      <c r="BH263" s="182"/>
      <c r="BI263" s="183">
        <f>(BH263*$E263*$F263*$G263*$L263*$BI$12)</f>
        <v>0</v>
      </c>
      <c r="BJ263" s="182"/>
      <c r="BK263" s="183">
        <f>(BJ263*$E263*$F263*$G263*$L263*$BK$12)</f>
        <v>0</v>
      </c>
      <c r="BL263" s="182"/>
      <c r="BM263" s="182">
        <f>(BL263*$E263*$F263*$G263*$L263*$BM$12)</f>
        <v>0</v>
      </c>
      <c r="BN263" s="182"/>
      <c r="BO263" s="182">
        <f>(BN263*$E263*$F263*$G263*$M263*$BO$12)</f>
        <v>0</v>
      </c>
      <c r="BP263" s="182"/>
      <c r="BQ263" s="182">
        <f>(BP263*$E263*$F263*$G263*$M263*$BQ$12)</f>
        <v>0</v>
      </c>
      <c r="BR263" s="182"/>
      <c r="BS263" s="183">
        <f>(BR263*$E263*$F263*$G263*$M263*$BS$12)</f>
        <v>0</v>
      </c>
      <c r="BT263" s="182"/>
      <c r="BU263" s="182">
        <f>(BT263*$E263*$F263*$G263*$M263*$BU$12)</f>
        <v>0</v>
      </c>
      <c r="BV263" s="182"/>
      <c r="BW263" s="182">
        <f>(BV263*$E263*$F263*$G263*$M263*$BW$12)</f>
        <v>0</v>
      </c>
      <c r="BX263" s="182">
        <v>5</v>
      </c>
      <c r="BY263" s="183">
        <f t="shared" si="960"/>
        <v>194172.34038048002</v>
      </c>
      <c r="BZ263" s="182"/>
      <c r="CA263" s="187">
        <f>(BZ263*$E263*$F263*$G263*$M263*$CA$12)</f>
        <v>0</v>
      </c>
      <c r="CB263" s="182"/>
      <c r="CC263" s="182">
        <f>(CB263*$E263*$F263*$G263*$L263*$CC$12)</f>
        <v>0</v>
      </c>
      <c r="CD263" s="182"/>
      <c r="CE263" s="182">
        <f>(CD263*$E263*$F263*$G263*$L263*$CE$12)</f>
        <v>0</v>
      </c>
      <c r="CF263" s="182"/>
      <c r="CG263" s="182">
        <f>(CF263*$E263*$F263*$G263*$L263*$CG$12)</f>
        <v>0</v>
      </c>
      <c r="CH263" s="182"/>
      <c r="CI263" s="182">
        <f>(CH263*$E263*$F263*$G263*$M263*$CI$12)</f>
        <v>0</v>
      </c>
      <c r="CJ263" s="182"/>
      <c r="CK263" s="182"/>
      <c r="CL263" s="182"/>
      <c r="CM263" s="183">
        <f>(CL263*$E263*$F263*$G263*$L263*$CM$12)</f>
        <v>0</v>
      </c>
      <c r="CN263" s="182"/>
      <c r="CO263" s="183">
        <f>(CN263*$E263*$F263*$G263*$L263*$CO$12)</f>
        <v>0</v>
      </c>
      <c r="CP263" s="182"/>
      <c r="CQ263" s="182">
        <f>(CP263*$E263*$F263*$G263*$L263*$CQ$12)</f>
        <v>0</v>
      </c>
      <c r="CR263" s="182"/>
      <c r="CS263" s="182">
        <f>(CR263*$E263*$F263*$G263*$L263*$CS$12)</f>
        <v>0</v>
      </c>
      <c r="CT263" s="182"/>
      <c r="CU263" s="182">
        <f>(CT263*$E263*$F263*$G263*$L263*$CU$12)</f>
        <v>0</v>
      </c>
      <c r="CV263" s="182"/>
      <c r="CW263" s="182">
        <v>0</v>
      </c>
      <c r="CX263" s="182"/>
      <c r="CY263" s="182">
        <f>(CX263*$E263*$F263*$G263*$M263*$CY$12)</f>
        <v>0</v>
      </c>
      <c r="CZ263" s="182"/>
      <c r="DA263" s="182">
        <v>0</v>
      </c>
      <c r="DB263" s="188">
        <v>60</v>
      </c>
      <c r="DC263" s="182">
        <f>(DB263*$E263*$F263*$G263*$M263*$DC$12)</f>
        <v>1554899.0688</v>
      </c>
      <c r="DD263" s="182"/>
      <c r="DE263" s="187">
        <f t="shared" si="961"/>
        <v>0</v>
      </c>
      <c r="DF263" s="182"/>
      <c r="DG263" s="182">
        <f>(DF263*$E263*$F263*$G263*$M263*$DG$12)</f>
        <v>0</v>
      </c>
      <c r="DH263" s="189"/>
      <c r="DI263" s="182">
        <f>(DH263*$E263*$F263*$G263*$M263*$DI$12)</f>
        <v>0</v>
      </c>
      <c r="DJ263" s="182">
        <v>1</v>
      </c>
      <c r="DK263" s="182">
        <f t="shared" si="962"/>
        <v>31377.04736628</v>
      </c>
      <c r="DL263" s="182"/>
      <c r="DM263" s="182">
        <f>(DL263*$E263*$F263*$G263*$N263*$DM$12)</f>
        <v>0</v>
      </c>
      <c r="DN263" s="182">
        <f>ROUND(3*0.75,0)</f>
        <v>2</v>
      </c>
      <c r="DO263" s="190">
        <f>(DN263*$E263*$F263*$G263*$O263*$DO$12)</f>
        <v>88097.2356</v>
      </c>
      <c r="DP263" s="187"/>
      <c r="DQ263" s="187"/>
      <c r="DR263" s="183">
        <f t="shared" si="953"/>
        <v>225</v>
      </c>
      <c r="DS263" s="183">
        <f t="shared" si="953"/>
        <v>6019331.4652548265</v>
      </c>
      <c r="DT263" s="182">
        <v>224</v>
      </c>
      <c r="DU263" s="182">
        <v>5968159.2233999996</v>
      </c>
      <c r="DV263" s="167">
        <f t="shared" si="817"/>
        <v>1</v>
      </c>
      <c r="DW263" s="167">
        <f t="shared" si="817"/>
        <v>51172.24185482692</v>
      </c>
    </row>
    <row r="264" spans="1:127" ht="30" x14ac:dyDescent="0.25">
      <c r="A264" s="318"/>
      <c r="B264" s="176">
        <v>228</v>
      </c>
      <c r="C264" s="310" t="s">
        <v>611</v>
      </c>
      <c r="D264" s="210" t="s">
        <v>612</v>
      </c>
      <c r="E264" s="158">
        <v>25969</v>
      </c>
      <c r="F264" s="201">
        <v>1.24</v>
      </c>
      <c r="G264" s="168">
        <v>1</v>
      </c>
      <c r="H264" s="169"/>
      <c r="I264" s="169"/>
      <c r="J264" s="169"/>
      <c r="K264" s="195">
        <v>0.14380000000000001</v>
      </c>
      <c r="L264" s="180">
        <v>1.4</v>
      </c>
      <c r="M264" s="180">
        <v>1.68</v>
      </c>
      <c r="N264" s="180">
        <v>2.23</v>
      </c>
      <c r="O264" s="181">
        <v>2.57</v>
      </c>
      <c r="P264" s="182"/>
      <c r="Q264" s="196">
        <f>(P264*$E264*$F264*((1-$K264)+$K264*$L264*G264))</f>
        <v>0</v>
      </c>
      <c r="R264" s="182"/>
      <c r="S264" s="182"/>
      <c r="T264" s="182"/>
      <c r="U264" s="182"/>
      <c r="V264" s="182"/>
      <c r="W264" s="196">
        <f>(V264*$E264*$F264*((1-$K264)+$K264*$L264*$G264))</f>
        <v>0</v>
      </c>
      <c r="X264" s="196"/>
      <c r="Y264" s="196">
        <v>0</v>
      </c>
      <c r="Z264" s="196"/>
      <c r="AA264" s="196">
        <v>0</v>
      </c>
      <c r="AB264" s="182">
        <f>X264+Z264</f>
        <v>0</v>
      </c>
      <c r="AC264" s="182">
        <f>Y264+AA264</f>
        <v>0</v>
      </c>
      <c r="AD264" s="182"/>
      <c r="AE264" s="196">
        <f>(AD264*$E264*$F264*((1-$K264)+$K264*$L264*$G264))</f>
        <v>0</v>
      </c>
      <c r="AF264" s="261">
        <v>54</v>
      </c>
      <c r="AG264" s="196">
        <f>(AF264*$E264*$F264*((1-$K264)+$K264*$L264*$G264))</f>
        <v>1838904.8614848</v>
      </c>
      <c r="AH264" s="182"/>
      <c r="AI264" s="196">
        <f>(AH264*$E264*$F264*((1-$K264)+$K264*$L264*$G264))</f>
        <v>0</v>
      </c>
      <c r="AJ264" s="182"/>
      <c r="AK264" s="182"/>
      <c r="AL264" s="182"/>
      <c r="AM264" s="182"/>
      <c r="AN264" s="184"/>
      <c r="AO264" s="196">
        <f>(AN264*$E264*$F264*((1-$K264)+$K264*$L264*$G264))</f>
        <v>0</v>
      </c>
      <c r="AP264" s="182">
        <v>200</v>
      </c>
      <c r="AQ264" s="196">
        <f>(AP264*$E264*$F264*((1-$K264)+$K264*$L264*$G264))</f>
        <v>6810758.7462400002</v>
      </c>
      <c r="AR264" s="182"/>
      <c r="AS264" s="196">
        <f>(AR264*$E264*$F264*((1-$K264)+$K264*$L264*$G264))</f>
        <v>0</v>
      </c>
      <c r="AT264" s="182"/>
      <c r="AU264" s="196">
        <f>(AT264*$E264*$F264*((1-$K264)+$K264*$M264*$G264))</f>
        <v>0</v>
      </c>
      <c r="AV264" s="188"/>
      <c r="AW264" s="196">
        <f>(AV264*$E264*$F264*((1-$K264)+$K264*$M264*$G264))</f>
        <v>0</v>
      </c>
      <c r="AX264" s="182"/>
      <c r="AY264" s="196">
        <f>(AX264*$E264*$F264*((1-$K264)+$K264*$M264*$G264))</f>
        <v>0</v>
      </c>
      <c r="AZ264" s="182"/>
      <c r="BA264" s="182"/>
      <c r="BB264" s="182"/>
      <c r="BC264" s="182"/>
      <c r="BD264" s="182"/>
      <c r="BE264" s="182"/>
      <c r="BF264" s="182"/>
      <c r="BG264" s="182"/>
      <c r="BH264" s="182"/>
      <c r="BI264" s="182"/>
      <c r="BJ264" s="182"/>
      <c r="BK264" s="182"/>
      <c r="BL264" s="182"/>
      <c r="BM264" s="182"/>
      <c r="BN264" s="182"/>
      <c r="BO264" s="182"/>
      <c r="BP264" s="182"/>
      <c r="BQ264" s="182"/>
      <c r="BR264" s="182"/>
      <c r="BS264" s="182"/>
      <c r="BT264" s="182"/>
      <c r="BU264" s="182"/>
      <c r="BV264" s="182"/>
      <c r="BW264" s="182"/>
      <c r="BX264" s="182"/>
      <c r="BY264" s="183"/>
      <c r="BZ264" s="182"/>
      <c r="CA264" s="187"/>
      <c r="CB264" s="182"/>
      <c r="CC264" s="182"/>
      <c r="CD264" s="182"/>
      <c r="CE264" s="182"/>
      <c r="CF264" s="182"/>
      <c r="CG264" s="182"/>
      <c r="CH264" s="182"/>
      <c r="CI264" s="182"/>
      <c r="CJ264" s="182"/>
      <c r="CK264" s="182"/>
      <c r="CL264" s="182"/>
      <c r="CM264" s="182"/>
      <c r="CN264" s="182"/>
      <c r="CO264" s="182"/>
      <c r="CP264" s="182"/>
      <c r="CQ264" s="182"/>
      <c r="CR264" s="182"/>
      <c r="CS264" s="182"/>
      <c r="CT264" s="182"/>
      <c r="CU264" s="182"/>
      <c r="CV264" s="182"/>
      <c r="CW264" s="182">
        <v>0</v>
      </c>
      <c r="CX264" s="182"/>
      <c r="CY264" s="182"/>
      <c r="CZ264" s="182"/>
      <c r="DA264" s="182">
        <v>0</v>
      </c>
      <c r="DB264" s="188"/>
      <c r="DC264" s="182"/>
      <c r="DD264" s="182"/>
      <c r="DE264" s="187"/>
      <c r="DF264" s="182"/>
      <c r="DG264" s="182"/>
      <c r="DH264" s="189"/>
      <c r="DI264" s="182"/>
      <c r="DJ264" s="182"/>
      <c r="DK264" s="182"/>
      <c r="DL264" s="182"/>
      <c r="DM264" s="182"/>
      <c r="DN264" s="182"/>
      <c r="DO264" s="190"/>
      <c r="DP264" s="187"/>
      <c r="DQ264" s="187"/>
      <c r="DR264" s="183">
        <f t="shared" si="953"/>
        <v>254</v>
      </c>
      <c r="DS264" s="183">
        <f t="shared" si="953"/>
        <v>8649663.6077248007</v>
      </c>
      <c r="DT264" s="182">
        <v>255</v>
      </c>
      <c r="DU264" s="182">
        <v>8683717.4014560003</v>
      </c>
      <c r="DV264" s="167">
        <f t="shared" si="817"/>
        <v>-1</v>
      </c>
      <c r="DW264" s="167">
        <f t="shared" si="817"/>
        <v>-34053.793731199577</v>
      </c>
    </row>
    <row r="265" spans="1:127" ht="15.75" customHeight="1" x14ac:dyDescent="0.25">
      <c r="A265" s="170">
        <v>22</v>
      </c>
      <c r="B265" s="197"/>
      <c r="C265" s="198"/>
      <c r="D265" s="211" t="s">
        <v>613</v>
      </c>
      <c r="E265" s="158">
        <v>25969</v>
      </c>
      <c r="F265" s="199">
        <v>0.8</v>
      </c>
      <c r="G265" s="174"/>
      <c r="H265" s="180"/>
      <c r="I265" s="180"/>
      <c r="J265" s="180"/>
      <c r="K265" s="173"/>
      <c r="L265" s="174">
        <v>1.4</v>
      </c>
      <c r="M265" s="174">
        <v>1.68</v>
      </c>
      <c r="N265" s="174">
        <v>2.23</v>
      </c>
      <c r="O265" s="175">
        <v>2.57</v>
      </c>
      <c r="P265" s="166">
        <f t="shared" ref="P265:AD265" si="963">SUM(P266:P269)</f>
        <v>0</v>
      </c>
      <c r="Q265" s="166">
        <f t="shared" si="963"/>
        <v>0</v>
      </c>
      <c r="R265" s="166">
        <f t="shared" ref="R265" si="964">SUM(R266:R269)</f>
        <v>1</v>
      </c>
      <c r="S265" s="166">
        <f t="shared" si="963"/>
        <v>84783.59120000001</v>
      </c>
      <c r="T265" s="166">
        <f t="shared" si="963"/>
        <v>399</v>
      </c>
      <c r="U265" s="166">
        <f t="shared" si="963"/>
        <v>21950856.232724998</v>
      </c>
      <c r="V265" s="166">
        <f t="shared" si="963"/>
        <v>3</v>
      </c>
      <c r="W265" s="166">
        <f t="shared" si="963"/>
        <v>54097.024018127995</v>
      </c>
      <c r="X265" s="166">
        <v>0</v>
      </c>
      <c r="Y265" s="166">
        <v>0</v>
      </c>
      <c r="Z265" s="166">
        <v>0</v>
      </c>
      <c r="AA265" s="166">
        <v>0</v>
      </c>
      <c r="AB265" s="166">
        <f t="shared" si="963"/>
        <v>0</v>
      </c>
      <c r="AC265" s="166">
        <f t="shared" si="963"/>
        <v>0</v>
      </c>
      <c r="AD265" s="166">
        <f t="shared" si="963"/>
        <v>0</v>
      </c>
      <c r="AE265" s="166">
        <f t="shared" ref="AE265:CP265" si="965">SUM(AE266:AE269)</f>
        <v>0</v>
      </c>
      <c r="AF265" s="166">
        <f t="shared" si="965"/>
        <v>0</v>
      </c>
      <c r="AG265" s="166">
        <f t="shared" si="965"/>
        <v>0</v>
      </c>
      <c r="AH265" s="166">
        <f t="shared" si="965"/>
        <v>0</v>
      </c>
      <c r="AI265" s="166">
        <f t="shared" si="965"/>
        <v>0</v>
      </c>
      <c r="AJ265" s="166">
        <f>SUM(AJ266:AJ269)</f>
        <v>0</v>
      </c>
      <c r="AK265" s="166">
        <f>SUM(AK266:AK269)</f>
        <v>0</v>
      </c>
      <c r="AL265" s="166">
        <f t="shared" si="965"/>
        <v>0</v>
      </c>
      <c r="AM265" s="166">
        <f t="shared" si="965"/>
        <v>0</v>
      </c>
      <c r="AN265" s="166">
        <f t="shared" si="965"/>
        <v>0</v>
      </c>
      <c r="AO265" s="166">
        <f t="shared" si="965"/>
        <v>0</v>
      </c>
      <c r="AP265" s="166">
        <f t="shared" si="965"/>
        <v>0</v>
      </c>
      <c r="AQ265" s="166">
        <f t="shared" si="965"/>
        <v>0</v>
      </c>
      <c r="AR265" s="166">
        <f t="shared" si="965"/>
        <v>0</v>
      </c>
      <c r="AS265" s="166">
        <f t="shared" si="965"/>
        <v>0</v>
      </c>
      <c r="AT265" s="166">
        <f t="shared" si="965"/>
        <v>30</v>
      </c>
      <c r="AU265" s="166">
        <f t="shared" si="965"/>
        <v>588238.48037026799</v>
      </c>
      <c r="AV265" s="166">
        <f t="shared" si="965"/>
        <v>0</v>
      </c>
      <c r="AW265" s="166">
        <f t="shared" si="965"/>
        <v>0</v>
      </c>
      <c r="AX265" s="166">
        <f t="shared" si="965"/>
        <v>4</v>
      </c>
      <c r="AY265" s="166">
        <f t="shared" si="965"/>
        <v>144931.95024000001</v>
      </c>
      <c r="AZ265" s="166">
        <f t="shared" si="965"/>
        <v>0</v>
      </c>
      <c r="BA265" s="166">
        <f t="shared" si="965"/>
        <v>0</v>
      </c>
      <c r="BB265" s="166">
        <f t="shared" si="965"/>
        <v>0</v>
      </c>
      <c r="BC265" s="166">
        <f t="shared" si="965"/>
        <v>0</v>
      </c>
      <c r="BD265" s="166">
        <f t="shared" si="965"/>
        <v>0</v>
      </c>
      <c r="BE265" s="166">
        <f t="shared" si="965"/>
        <v>0</v>
      </c>
      <c r="BF265" s="166">
        <f t="shared" si="965"/>
        <v>0</v>
      </c>
      <c r="BG265" s="166">
        <f t="shared" si="965"/>
        <v>0</v>
      </c>
      <c r="BH265" s="166">
        <f t="shared" si="965"/>
        <v>0</v>
      </c>
      <c r="BI265" s="166">
        <f t="shared" si="965"/>
        <v>0</v>
      </c>
      <c r="BJ265" s="166">
        <f t="shared" si="965"/>
        <v>0</v>
      </c>
      <c r="BK265" s="166">
        <f t="shared" si="965"/>
        <v>0</v>
      </c>
      <c r="BL265" s="166">
        <f t="shared" si="965"/>
        <v>5</v>
      </c>
      <c r="BM265" s="166">
        <f t="shared" si="965"/>
        <v>247149.47132167601</v>
      </c>
      <c r="BN265" s="166">
        <f t="shared" si="965"/>
        <v>21</v>
      </c>
      <c r="BO265" s="166">
        <f t="shared" si="965"/>
        <v>463110.37080000003</v>
      </c>
      <c r="BP265" s="166">
        <f t="shared" si="965"/>
        <v>97</v>
      </c>
      <c r="BQ265" s="166">
        <f t="shared" si="965"/>
        <v>2117521.3872205541</v>
      </c>
      <c r="BR265" s="166">
        <f t="shared" si="965"/>
        <v>0</v>
      </c>
      <c r="BS265" s="166">
        <f t="shared" si="965"/>
        <v>0</v>
      </c>
      <c r="BT265" s="166">
        <f t="shared" si="965"/>
        <v>10</v>
      </c>
      <c r="BU265" s="166">
        <f t="shared" si="965"/>
        <v>189546.08809718402</v>
      </c>
      <c r="BV265" s="166">
        <f t="shared" si="965"/>
        <v>18</v>
      </c>
      <c r="BW265" s="166">
        <f t="shared" si="965"/>
        <v>275641.19855999999</v>
      </c>
      <c r="BX265" s="166">
        <f t="shared" si="965"/>
        <v>20</v>
      </c>
      <c r="BY265" s="166">
        <f t="shared" si="965"/>
        <v>458952.80453567998</v>
      </c>
      <c r="BZ265" s="166">
        <f t="shared" si="965"/>
        <v>41</v>
      </c>
      <c r="CA265" s="166">
        <f t="shared" si="965"/>
        <v>994971.41758769995</v>
      </c>
      <c r="CB265" s="166">
        <f t="shared" si="965"/>
        <v>0</v>
      </c>
      <c r="CC265" s="166">
        <f t="shared" si="965"/>
        <v>0</v>
      </c>
      <c r="CD265" s="166">
        <f t="shared" si="965"/>
        <v>0</v>
      </c>
      <c r="CE265" s="166">
        <f t="shared" si="965"/>
        <v>0</v>
      </c>
      <c r="CF265" s="166">
        <f t="shared" si="965"/>
        <v>0</v>
      </c>
      <c r="CG265" s="166">
        <f t="shared" si="965"/>
        <v>0</v>
      </c>
      <c r="CH265" s="166">
        <f t="shared" si="965"/>
        <v>8</v>
      </c>
      <c r="CI265" s="166">
        <f t="shared" si="965"/>
        <v>222681.80309541599</v>
      </c>
      <c r="CJ265" s="166">
        <f t="shared" si="965"/>
        <v>0</v>
      </c>
      <c r="CK265" s="166">
        <f t="shared" si="965"/>
        <v>0</v>
      </c>
      <c r="CL265" s="166">
        <f t="shared" si="965"/>
        <v>0</v>
      </c>
      <c r="CM265" s="166">
        <f t="shared" si="965"/>
        <v>0</v>
      </c>
      <c r="CN265" s="166">
        <f t="shared" si="965"/>
        <v>0</v>
      </c>
      <c r="CO265" s="166">
        <f t="shared" si="965"/>
        <v>0</v>
      </c>
      <c r="CP265" s="166">
        <f t="shared" si="965"/>
        <v>16</v>
      </c>
      <c r="CQ265" s="166">
        <f t="shared" ref="CQ265:DQ265" si="966">SUM(CQ266:CQ269)</f>
        <v>369099.88171391992</v>
      </c>
      <c r="CR265" s="166">
        <f t="shared" si="966"/>
        <v>16</v>
      </c>
      <c r="CS265" s="166">
        <f t="shared" si="966"/>
        <v>271981.48503343994</v>
      </c>
      <c r="CT265" s="166">
        <f t="shared" si="966"/>
        <v>61</v>
      </c>
      <c r="CU265" s="166">
        <f t="shared" si="966"/>
        <v>907988.05576205999</v>
      </c>
      <c r="CV265" s="166">
        <f t="shared" si="966"/>
        <v>51</v>
      </c>
      <c r="CW265" s="166">
        <v>783557.55000000016</v>
      </c>
      <c r="CX265" s="166">
        <f t="shared" si="966"/>
        <v>18</v>
      </c>
      <c r="CY265" s="166">
        <f t="shared" si="966"/>
        <v>501902.80773796799</v>
      </c>
      <c r="CZ265" s="166">
        <f t="shared" si="966"/>
        <v>0</v>
      </c>
      <c r="DA265" s="166">
        <v>0</v>
      </c>
      <c r="DB265" s="166">
        <f t="shared" si="966"/>
        <v>0</v>
      </c>
      <c r="DC265" s="166">
        <f t="shared" si="966"/>
        <v>0</v>
      </c>
      <c r="DD265" s="166">
        <f t="shared" si="966"/>
        <v>0</v>
      </c>
      <c r="DE265" s="166">
        <f t="shared" si="966"/>
        <v>0</v>
      </c>
      <c r="DF265" s="166">
        <f t="shared" si="966"/>
        <v>0</v>
      </c>
      <c r="DG265" s="166">
        <f t="shared" si="966"/>
        <v>0</v>
      </c>
      <c r="DH265" s="166">
        <f t="shared" si="966"/>
        <v>5</v>
      </c>
      <c r="DI265" s="166">
        <f t="shared" si="966"/>
        <v>148771.2072</v>
      </c>
      <c r="DJ265" s="166">
        <f t="shared" si="966"/>
        <v>10</v>
      </c>
      <c r="DK265" s="166">
        <f t="shared" si="966"/>
        <v>185409.8253462</v>
      </c>
      <c r="DL265" s="166">
        <f t="shared" si="966"/>
        <v>23</v>
      </c>
      <c r="DM265" s="166">
        <f t="shared" si="966"/>
        <v>519460.50390000007</v>
      </c>
      <c r="DN265" s="166">
        <f t="shared" si="966"/>
        <v>15</v>
      </c>
      <c r="DO265" s="166">
        <f t="shared" si="966"/>
        <v>585312.69409999996</v>
      </c>
      <c r="DP265" s="166">
        <f t="shared" si="966"/>
        <v>0</v>
      </c>
      <c r="DQ265" s="166">
        <f t="shared" si="966"/>
        <v>0</v>
      </c>
      <c r="DR265" s="166">
        <f>SUM(DR266:DR269)</f>
        <v>872</v>
      </c>
      <c r="DS265" s="166">
        <f t="shared" ref="DS265" si="967">SUM(DS266:DS269)</f>
        <v>32065965.830565188</v>
      </c>
      <c r="DT265" s="166">
        <v>872</v>
      </c>
      <c r="DU265" s="166">
        <v>31313781.275900006</v>
      </c>
      <c r="DV265" s="167">
        <f t="shared" si="817"/>
        <v>0</v>
      </c>
      <c r="DW265" s="167">
        <f t="shared" si="817"/>
        <v>752184.55466518179</v>
      </c>
    </row>
    <row r="266" spans="1:127" s="6" customFormat="1" ht="15.75" customHeight="1" x14ac:dyDescent="0.25">
      <c r="A266" s="154"/>
      <c r="B266" s="176">
        <v>229</v>
      </c>
      <c r="C266" s="177" t="s">
        <v>614</v>
      </c>
      <c r="D266" s="210" t="s">
        <v>615</v>
      </c>
      <c r="E266" s="158">
        <v>25969</v>
      </c>
      <c r="F266" s="179">
        <v>1.1100000000000001</v>
      </c>
      <c r="G266" s="168">
        <v>1</v>
      </c>
      <c r="H266" s="169"/>
      <c r="I266" s="169"/>
      <c r="J266" s="169"/>
      <c r="K266" s="106"/>
      <c r="L266" s="180">
        <v>1.4</v>
      </c>
      <c r="M266" s="180">
        <v>1.68</v>
      </c>
      <c r="N266" s="180">
        <v>2.23</v>
      </c>
      <c r="O266" s="181">
        <v>2.57</v>
      </c>
      <c r="P266" s="182"/>
      <c r="Q266" s="182">
        <f>(P266*$E266*$F266*$G266*$L266*$Q$12)</f>
        <v>0</v>
      </c>
      <c r="R266" s="182"/>
      <c r="S266" s="182">
        <f>(R266*$E266*$F266*$G266*$L266*$S$12)</f>
        <v>0</v>
      </c>
      <c r="T266" s="182">
        <v>1</v>
      </c>
      <c r="U266" s="182">
        <f t="shared" ref="U266:U269" si="968">(T266/12*11*$E266*$F266*$G266*$L266*$U$12)+(T266/12*1*$E266*$F266*$G266*$L266*$U$14)</f>
        <v>50949.230324999997</v>
      </c>
      <c r="V266" s="182"/>
      <c r="W266" s="183">
        <f t="shared" ref="W266:W269" si="969">(V266*$E266*$F266*$G266*$L266*$W$12)/12*10+(V266*$E266*$F266*$G266*$L266*$W$13)/12*1++(V266*$E266*$F266*$G266*$L266*$W$14)/12*1</f>
        <v>0</v>
      </c>
      <c r="X266" s="183"/>
      <c r="Y266" s="183">
        <v>0</v>
      </c>
      <c r="Z266" s="183"/>
      <c r="AA266" s="183">
        <v>0</v>
      </c>
      <c r="AB266" s="182">
        <f t="shared" ref="AB266:AC269" si="970">X266+Z266</f>
        <v>0</v>
      </c>
      <c r="AC266" s="182">
        <f t="shared" si="970"/>
        <v>0</v>
      </c>
      <c r="AD266" s="182"/>
      <c r="AE266" s="182">
        <f>(AD266*$E266*$F266*$G266*$L266*$AE$12)</f>
        <v>0</v>
      </c>
      <c r="AF266" s="182"/>
      <c r="AG266" s="182"/>
      <c r="AH266" s="182"/>
      <c r="AI266" s="182">
        <f>(AH266*$E266*$F266*$G266*$L266*$AI$12)</f>
        <v>0</v>
      </c>
      <c r="AJ266" s="182"/>
      <c r="AK266" s="182"/>
      <c r="AL266" s="182"/>
      <c r="AM266" s="182"/>
      <c r="AN266" s="184"/>
      <c r="AO266" s="182">
        <f>(AN266*$E266*$F266*$G266*$L266*$AO$12)</f>
        <v>0</v>
      </c>
      <c r="AP266" s="182"/>
      <c r="AQ266" s="183">
        <f>(AP266*$E266*$F266*$G266*$L266*$AQ$12)</f>
        <v>0</v>
      </c>
      <c r="AR266" s="182"/>
      <c r="AS266" s="182">
        <f t="shared" ref="AS266:AS269" si="971">(AR266*$E266*$F266*$G266*$L266*$AS$12)/12*10+(AR266*$E266*$F266*$G266*$L266*$AS$13)/12*1+(AR266*$E266*$F266*$G266*$L266*$AS$14)/12*1</f>
        <v>0</v>
      </c>
      <c r="AT266" s="182"/>
      <c r="AU266" s="182">
        <f>(AT266*$E266*$F266*$G266*$M266*$AU$12)</f>
        <v>0</v>
      </c>
      <c r="AV266" s="188"/>
      <c r="AW266" s="182">
        <f>(AV266*$E266*$F266*$G266*$M266*$AW$12)</f>
        <v>0</v>
      </c>
      <c r="AX266" s="182"/>
      <c r="AY266" s="187">
        <f>(AX266*$E266*$F266*$G266*$M266*$AY$12)</f>
        <v>0</v>
      </c>
      <c r="AZ266" s="182"/>
      <c r="BA266" s="182">
        <f>(AZ266*$E266*$F266*$G266*$L266*$BA$12)</f>
        <v>0</v>
      </c>
      <c r="BB266" s="182"/>
      <c r="BC266" s="182">
        <f>(BB266*$E266*$F266*$G266*$L266*$BC$12)</f>
        <v>0</v>
      </c>
      <c r="BD266" s="182"/>
      <c r="BE266" s="182">
        <f>(BD266*$E266*$F266*$G266*$L266*$BE$12)</f>
        <v>0</v>
      </c>
      <c r="BF266" s="182"/>
      <c r="BG266" s="182">
        <f>(BF266*$E266*$F266*$G266*$L266*$BG$12)</f>
        <v>0</v>
      </c>
      <c r="BH266" s="182"/>
      <c r="BI266" s="183">
        <f>(BH266*$E266*$F266*$G266*$L266*$BI$12)</f>
        <v>0</v>
      </c>
      <c r="BJ266" s="182"/>
      <c r="BK266" s="183">
        <f>(BJ266*$E266*$F266*$G266*$L266*$BK$12)</f>
        <v>0</v>
      </c>
      <c r="BL266" s="182"/>
      <c r="BM266" s="182">
        <f>(BL266*$E266*$F266*$G266*$L266*$BM$12)</f>
        <v>0</v>
      </c>
      <c r="BN266" s="182"/>
      <c r="BO266" s="182">
        <f>(BN266*$E266*$F266*$G266*$M266*$BO$12)</f>
        <v>0</v>
      </c>
      <c r="BP266" s="182"/>
      <c r="BQ266" s="182">
        <f>(BP266*$E266*$F266*$G266*$M266*$BQ$12)</f>
        <v>0</v>
      </c>
      <c r="BR266" s="182"/>
      <c r="BS266" s="183">
        <f>(BR266*$E266*$F266*$G266*$M266*$BS$12)</f>
        <v>0</v>
      </c>
      <c r="BT266" s="194"/>
      <c r="BU266" s="182">
        <f>(BT266*$E266*$F266*$G266*$M266*$BU$12)</f>
        <v>0</v>
      </c>
      <c r="BV266" s="182"/>
      <c r="BW266" s="182">
        <f>(BV266*$E266*$F266*$G266*$M266*$BW$12)</f>
        <v>0</v>
      </c>
      <c r="BX266" s="182"/>
      <c r="BY266" s="183">
        <f>(BX266*$E266*$F266*$G266*$M266*$BY$12)</f>
        <v>0</v>
      </c>
      <c r="BZ266" s="182"/>
      <c r="CA266" s="187">
        <f>(BZ266*$E266*$F266*$G266*$M266*$CA$12)</f>
        <v>0</v>
      </c>
      <c r="CB266" s="182"/>
      <c r="CC266" s="182">
        <f>(CB266*$E266*$F266*$G266*$L266*$CC$12)</f>
        <v>0</v>
      </c>
      <c r="CD266" s="182"/>
      <c r="CE266" s="182">
        <f>(CD266*$E266*$F266*$G266*$L266*$CE$12)</f>
        <v>0</v>
      </c>
      <c r="CF266" s="182"/>
      <c r="CG266" s="182">
        <f>(CF266*$E266*$F266*$G266*$L266*$CG$12)</f>
        <v>0</v>
      </c>
      <c r="CH266" s="182"/>
      <c r="CI266" s="182">
        <f>(CH266*$E266*$F266*$G266*$M266*$CI$12)</f>
        <v>0</v>
      </c>
      <c r="CJ266" s="182"/>
      <c r="CK266" s="182"/>
      <c r="CL266" s="182"/>
      <c r="CM266" s="183">
        <f>(CL266*$E266*$F266*$G266*$L266*$CM$12)</f>
        <v>0</v>
      </c>
      <c r="CN266" s="182"/>
      <c r="CO266" s="183">
        <f>(CN266*$E266*$F266*$G266*$L266*$CO$12)</f>
        <v>0</v>
      </c>
      <c r="CP266" s="182"/>
      <c r="CQ266" s="182">
        <f>(CP266*$E266*$F266*$G266*$L266*$CQ$12)</f>
        <v>0</v>
      </c>
      <c r="CR266" s="182"/>
      <c r="CS266" s="182">
        <f>(CR266*$E266*$F266*$G266*$L266*$CS$12)</f>
        <v>0</v>
      </c>
      <c r="CT266" s="182"/>
      <c r="CU266" s="182">
        <f>(CT266*$E266*$F266*$G266*$L266*$CU$12)</f>
        <v>0</v>
      </c>
      <c r="CV266" s="182"/>
      <c r="CW266" s="182">
        <v>0</v>
      </c>
      <c r="CX266" s="182">
        <v>1</v>
      </c>
      <c r="CY266" s="182">
        <f t="shared" ref="CY266:CY268" si="972">(CX266/12*11*$E266*$F266*$G266*$M266*$CY$12)+(CX266/12*$E266*$F266*$G266*$M266*$CY$15*$CY$12)</f>
        <v>52261.924633128001</v>
      </c>
      <c r="CZ266" s="182"/>
      <c r="DA266" s="182">
        <v>0</v>
      </c>
      <c r="DB266" s="188"/>
      <c r="DC266" s="182">
        <f>(DB266*$E266*$F266*$G266*$M266*$DC$12)</f>
        <v>0</v>
      </c>
      <c r="DD266" s="182"/>
      <c r="DE266" s="187">
        <f t="shared" ref="DE266:DE269" si="973">(DD266*$E266*$F266*$G266*$M266*DE$12)</f>
        <v>0</v>
      </c>
      <c r="DF266" s="182"/>
      <c r="DG266" s="182">
        <f>(DF266*$E266*$F266*$G266*$M266*$DG$12)</f>
        <v>0</v>
      </c>
      <c r="DH266" s="189"/>
      <c r="DI266" s="182">
        <f>(DH266*$E266*$F266*$G266*$M266*$DI$12)</f>
        <v>0</v>
      </c>
      <c r="DJ266" s="182"/>
      <c r="DK266" s="182">
        <f>(DJ266*$E266*$F266*$G266*$M266*$DK$12)</f>
        <v>0</v>
      </c>
      <c r="DL266" s="182"/>
      <c r="DM266" s="182">
        <f>(DL266*$E266*$F266*$G266*$N266*$DM$12)</f>
        <v>0</v>
      </c>
      <c r="DN266" s="182"/>
      <c r="DO266" s="190">
        <f>(DN266*$E266*$F266*$G266*$O266*$DO$12)</f>
        <v>0</v>
      </c>
      <c r="DP266" s="187"/>
      <c r="DQ266" s="187"/>
      <c r="DR266" s="183">
        <f t="shared" ref="DR266:DS269" si="974">SUM(P266,R266,T266,V266,AB266,AJ266,AD266,AF266,AH266,AL266,AN266,AP266,AV266,AZ266,BB266,CF266,AR266,BF266,BH266,BJ266,CT266,BL266,BN266,AT266,BR266,AX266,CV266,BT266,CX266,BV266,BX266,BZ266,CH266,CB266,CD266,CJ266,CL266,CN266,CP266,CR266,CZ266,DB266,BP266,BD266,DD266,DF266,DH266,DJ266,DL266,DN266,DP266)</f>
        <v>2</v>
      </c>
      <c r="DS266" s="183">
        <f t="shared" si="974"/>
        <v>103211.154958128</v>
      </c>
      <c r="DT266" s="182">
        <v>2</v>
      </c>
      <c r="DU266" s="182">
        <v>98871.773700000005</v>
      </c>
      <c r="DV266" s="167">
        <f t="shared" si="817"/>
        <v>0</v>
      </c>
      <c r="DW266" s="167">
        <f t="shared" si="817"/>
        <v>4339.3812581279926</v>
      </c>
    </row>
    <row r="267" spans="1:127" s="6" customFormat="1" ht="15.75" customHeight="1" x14ac:dyDescent="0.25">
      <c r="A267" s="154"/>
      <c r="B267" s="176">
        <v>230</v>
      </c>
      <c r="C267" s="177" t="s">
        <v>616</v>
      </c>
      <c r="D267" s="210" t="s">
        <v>617</v>
      </c>
      <c r="E267" s="158">
        <v>25969</v>
      </c>
      <c r="F267" s="201">
        <v>0.39</v>
      </c>
      <c r="G267" s="168">
        <v>1</v>
      </c>
      <c r="H267" s="169"/>
      <c r="I267" s="169"/>
      <c r="J267" s="169"/>
      <c r="K267" s="106"/>
      <c r="L267" s="180">
        <v>1.4</v>
      </c>
      <c r="M267" s="180">
        <v>1.68</v>
      </c>
      <c r="N267" s="180">
        <v>2.23</v>
      </c>
      <c r="O267" s="181">
        <v>2.57</v>
      </c>
      <c r="P267" s="182"/>
      <c r="Q267" s="182">
        <f>(P267*$E267*$F267*$G267*$L267*$Q$12)</f>
        <v>0</v>
      </c>
      <c r="R267" s="182"/>
      <c r="S267" s="182">
        <f>(R267*$E267*$F267*$G267*$L267*$S$12)</f>
        <v>0</v>
      </c>
      <c r="T267" s="182">
        <v>179</v>
      </c>
      <c r="U267" s="182">
        <f t="shared" si="968"/>
        <v>3204293.4855749994</v>
      </c>
      <c r="V267" s="182">
        <v>3</v>
      </c>
      <c r="W267" s="183">
        <f>(V267*$E267*$F267*$G267*$L267*$W$12)/12*10+(V267*$E267*$F267*$G267*$L267*$W$13)/12*1+(V267*$E267*$F267*$G267*$L267*$W$14*$W$15)/12*1</f>
        <v>54097.024018127995</v>
      </c>
      <c r="X267" s="183"/>
      <c r="Y267" s="183">
        <v>0</v>
      </c>
      <c r="Z267" s="183"/>
      <c r="AA267" s="183">
        <v>0</v>
      </c>
      <c r="AB267" s="182">
        <f t="shared" si="970"/>
        <v>0</v>
      </c>
      <c r="AC267" s="182">
        <f t="shared" si="970"/>
        <v>0</v>
      </c>
      <c r="AD267" s="182"/>
      <c r="AE267" s="182">
        <f>(AD267*$E267*$F267*$G267*$L267*$AE$12)</f>
        <v>0</v>
      </c>
      <c r="AF267" s="182"/>
      <c r="AG267" s="182"/>
      <c r="AH267" s="182"/>
      <c r="AI267" s="182">
        <f>(AH267*$E267*$F267*$G267*$L267*$AI$12)</f>
        <v>0</v>
      </c>
      <c r="AJ267" s="182"/>
      <c r="AK267" s="182"/>
      <c r="AL267" s="182"/>
      <c r="AM267" s="182"/>
      <c r="AN267" s="184"/>
      <c r="AO267" s="182">
        <f>(AN267*$E267*$F267*$G267*$L267*$AO$12)</f>
        <v>0</v>
      </c>
      <c r="AP267" s="182"/>
      <c r="AQ267" s="183">
        <f>(AP267*$E267*$F267*$G267*$L267*$AQ$12)</f>
        <v>0</v>
      </c>
      <c r="AR267" s="182"/>
      <c r="AS267" s="182">
        <f t="shared" si="971"/>
        <v>0</v>
      </c>
      <c r="AT267" s="182">
        <v>30</v>
      </c>
      <c r="AU267" s="182">
        <f>(AT267*$E267*$F267*$G267*$M267*$AU$12)/12*10+(AT267*$E267*$F267*$G267*$M267*$AU$13)/12+(AT267*$E267*$F267*$G267*$M267*$AU$14*$AU$15)/12</f>
        <v>588238.48037026799</v>
      </c>
      <c r="AV267" s="188"/>
      <c r="AW267" s="182">
        <f>(AV267*$E267*$F267*$G267*$M267*$AW$12)</f>
        <v>0</v>
      </c>
      <c r="AX267" s="182">
        <v>3</v>
      </c>
      <c r="AY267" s="187">
        <f>(AX267*$E267*$F267*$G267*$M267*$AY$12)</f>
        <v>56149.133040000001</v>
      </c>
      <c r="AZ267" s="182"/>
      <c r="BA267" s="182">
        <f>(AZ267*$E267*$F267*$G267*$L267*$BA$12)</f>
        <v>0</v>
      </c>
      <c r="BB267" s="182"/>
      <c r="BC267" s="182">
        <f>(BB267*$E267*$F267*$G267*$L267*$BC$12)</f>
        <v>0</v>
      </c>
      <c r="BD267" s="182"/>
      <c r="BE267" s="182">
        <f>(BD267*$E267*$F267*$G267*$L267*$BE$12)</f>
        <v>0</v>
      </c>
      <c r="BF267" s="182"/>
      <c r="BG267" s="182">
        <f>(BF267*$E267*$F267*$G267*$L267*$BG$12)</f>
        <v>0</v>
      </c>
      <c r="BH267" s="182"/>
      <c r="BI267" s="183">
        <f>(BH267*$E267*$F267*$G267*$L267*$BI$12)</f>
        <v>0</v>
      </c>
      <c r="BJ267" s="182"/>
      <c r="BK267" s="183">
        <f>(BJ267*$E267*$F267*$G267*$L267*$BK$12)</f>
        <v>0</v>
      </c>
      <c r="BL267" s="182">
        <v>3</v>
      </c>
      <c r="BM267" s="182">
        <f t="shared" ref="BM267:BM268" si="975">(BL267/12*11*$E267*$F267*$G267*$L267*$BM$12)+(BL267/12*$E267*$F267*$G267*$L267*$BM$12*$BM$15)</f>
        <v>59376.772370916005</v>
      </c>
      <c r="BN267" s="182">
        <v>20</v>
      </c>
      <c r="BO267" s="182">
        <f>(BN267*$E267*$F267*$G267*$M267*$BO$12)</f>
        <v>374327.55360000004</v>
      </c>
      <c r="BP267" s="182">
        <v>92</v>
      </c>
      <c r="BQ267" s="182">
        <f t="shared" ref="BQ267:BQ268" si="976">(BP267/12*11*$E267*$F267*$G267*$M267*$BQ$12)+(BP267/12*$E267*$F267*$G267*$M267*$BQ$14*$BQ$15)</f>
        <v>1683506.9216369041</v>
      </c>
      <c r="BR267" s="182"/>
      <c r="BS267" s="183">
        <f>(BR267*$E267*$F267*$G267*$M267*$BS$12)</f>
        <v>0</v>
      </c>
      <c r="BT267" s="194">
        <v>10</v>
      </c>
      <c r="BU267" s="182">
        <f t="shared" ref="BU267" si="977">(BT267*$E267*$F267*$G267*$M267*$BU$12)/12*10+(BT267*$E267*$F267*$G267*$M267*$BU$13)/12+(BT267*$E267*$F267*$G267*$M267*$BU$13*$BU$15)/12</f>
        <v>189546.08809718402</v>
      </c>
      <c r="BV267" s="182">
        <v>18</v>
      </c>
      <c r="BW267" s="182">
        <f>(BV267*$E267*$F267*$G267*$M267*$BW$12)</f>
        <v>275641.19855999999</v>
      </c>
      <c r="BX267" s="182">
        <v>20</v>
      </c>
      <c r="BY267" s="183">
        <f t="shared" ref="BY267" si="978">(BX267*$E267*$F267*$G267*$M267*$BY$12)/12*11+(BX267*$E267*$F267*$G267*$M267*$BY$12*$BY$15)/12</f>
        <v>458952.80453567998</v>
      </c>
      <c r="BZ267" s="182">
        <v>40</v>
      </c>
      <c r="CA267" s="187">
        <f t="shared" ref="CA267:CA268" si="979">(BZ267*$E267*$F267*$G267*$M267*$CA$12)/12*11+(BZ267*$E267*$F267*$G267*$M267*$CA$12*$CA$15)/12</f>
        <v>889487.34179759992</v>
      </c>
      <c r="CB267" s="182"/>
      <c r="CC267" s="182">
        <f>(CB267*$E267*$F267*$G267*$L267*$CC$12)</f>
        <v>0</v>
      </c>
      <c r="CD267" s="182"/>
      <c r="CE267" s="182">
        <f>(CD267*$E267*$F267*$G267*$L267*$CE$12)</f>
        <v>0</v>
      </c>
      <c r="CF267" s="182"/>
      <c r="CG267" s="182">
        <f>(CF267*$E267*$F267*$G267*$L267*$CG$12)</f>
        <v>0</v>
      </c>
      <c r="CH267" s="182">
        <v>7</v>
      </c>
      <c r="CI267" s="182">
        <f t="shared" ref="CI267:CI268" si="980">(CH267*$E267*$F267*$G267*$M267*$CI$12)/12*11+(CH267*$E267*$F267*$G267*$M267*$CI$12*$CI$15)/12</f>
        <v>132733.91319879598</v>
      </c>
      <c r="CJ267" s="182"/>
      <c r="CK267" s="182"/>
      <c r="CL267" s="182"/>
      <c r="CM267" s="183">
        <f>(CL267*$E267*$F267*$G267*$L267*$CM$12)</f>
        <v>0</v>
      </c>
      <c r="CN267" s="182"/>
      <c r="CO267" s="183">
        <f>(CN267*$E267*$F267*$G267*$L267*$CO$12)</f>
        <v>0</v>
      </c>
      <c r="CP267" s="182">
        <v>14</v>
      </c>
      <c r="CQ267" s="182">
        <f t="shared" ref="CQ267:CQ268" si="981">(CP267*$E267*$F267*$G267*$L267*$CQ$12)/12*11+(CP267*$E267*$F267*$G267*$L267*$CQ$12*$CQ$15)/12</f>
        <v>220009.31813951995</v>
      </c>
      <c r="CR267" s="182">
        <v>16</v>
      </c>
      <c r="CS267" s="182">
        <f t="shared" ref="CS267" si="982">(CR267*$E267*$F267*$G267*$L267*$CS$12)/12*10+(CR267*$E267*$F267*$G267*$L267*$CS$13)/12+(CR267*$E267*$F267*$G267*$L267*$CS$13*$CS$15)/12</f>
        <v>271981.48503343994</v>
      </c>
      <c r="CT267" s="182">
        <v>61</v>
      </c>
      <c r="CU267" s="182">
        <f t="shared" ref="CU267" si="983">(CT267*$E267*$F267*$G267*$L267*$CU$12)/12*11+(CT267*$E267*$F267*$G267*$L267*$CU$12*$CU$15)/12</f>
        <v>907988.05576205999</v>
      </c>
      <c r="CV267" s="182">
        <v>51</v>
      </c>
      <c r="CW267" s="182">
        <v>783557.55000000016</v>
      </c>
      <c r="CX267" s="182">
        <v>15</v>
      </c>
      <c r="CY267" s="182">
        <f t="shared" si="972"/>
        <v>275434.46766108001</v>
      </c>
      <c r="CZ267" s="182"/>
      <c r="DA267" s="182">
        <v>0</v>
      </c>
      <c r="DB267" s="188"/>
      <c r="DC267" s="182">
        <f>(DB267*$E267*$F267*$G267*$M267*$DC$12)</f>
        <v>0</v>
      </c>
      <c r="DD267" s="182"/>
      <c r="DE267" s="187">
        <f t="shared" si="973"/>
        <v>0</v>
      </c>
      <c r="DF267" s="182"/>
      <c r="DG267" s="182">
        <f>(DF267*$E267*$F267*$G267*$M267*$DG$12)</f>
        <v>0</v>
      </c>
      <c r="DH267" s="189">
        <f>ROUND(5*0.75,0)</f>
        <v>4</v>
      </c>
      <c r="DI267" s="182">
        <f>(DH267*$E267*$F267*$G267*$M267*$DI$12)</f>
        <v>68059.555200000003</v>
      </c>
      <c r="DJ267" s="182">
        <v>10</v>
      </c>
      <c r="DK267" s="182">
        <f>(DJ267/12*11*$E267*$F267*$G267*$M267*$DK$12)+(DJ267/12*1*$E267*$F267*$M267*$G267*$DK$12*$DK$15)</f>
        <v>185409.8253462</v>
      </c>
      <c r="DL267" s="182">
        <f>ROUND(30*0.75,0)</f>
        <v>23</v>
      </c>
      <c r="DM267" s="182">
        <f>(DL267*$E267*$F267*$G267*$N267*$DM$12)</f>
        <v>519460.50390000007</v>
      </c>
      <c r="DN267" s="182">
        <f>ROUND(17*0.75,0)</f>
        <v>13</v>
      </c>
      <c r="DO267" s="190">
        <f>(DN267*$E267*$F267*$G267*$O267*$DO$12)</f>
        <v>338373.4731</v>
      </c>
      <c r="DP267" s="187"/>
      <c r="DQ267" s="187"/>
      <c r="DR267" s="183">
        <f t="shared" si="974"/>
        <v>632</v>
      </c>
      <c r="DS267" s="183">
        <f t="shared" si="974"/>
        <v>11536624.950942773</v>
      </c>
      <c r="DT267" s="182">
        <v>632</v>
      </c>
      <c r="DU267" s="182">
        <v>11075911.048699999</v>
      </c>
      <c r="DV267" s="167">
        <f t="shared" si="817"/>
        <v>0</v>
      </c>
      <c r="DW267" s="167">
        <f t="shared" si="817"/>
        <v>460713.90224277414</v>
      </c>
    </row>
    <row r="268" spans="1:127" ht="30" customHeight="1" x14ac:dyDescent="0.25">
      <c r="A268" s="154"/>
      <c r="B268" s="176">
        <v>231</v>
      </c>
      <c r="C268" s="177" t="s">
        <v>618</v>
      </c>
      <c r="D268" s="210" t="s">
        <v>619</v>
      </c>
      <c r="E268" s="158">
        <v>25969</v>
      </c>
      <c r="F268" s="179">
        <v>1.85</v>
      </c>
      <c r="G268" s="168">
        <v>1</v>
      </c>
      <c r="H268" s="169"/>
      <c r="I268" s="169"/>
      <c r="J268" s="169"/>
      <c r="K268" s="106"/>
      <c r="L268" s="180">
        <v>1.4</v>
      </c>
      <c r="M268" s="180">
        <v>1.68</v>
      </c>
      <c r="N268" s="180">
        <v>2.23</v>
      </c>
      <c r="O268" s="181">
        <v>2.57</v>
      </c>
      <c r="P268" s="182"/>
      <c r="Q268" s="182">
        <f>(P268*$E268*$F268*$G268*$L268*$Q$12)</f>
        <v>0</v>
      </c>
      <c r="R268" s="182"/>
      <c r="S268" s="182">
        <f>(R268*$E268*$F268*$G268*$L268*$S$12)</f>
        <v>0</v>
      </c>
      <c r="T268" s="182">
        <f>158+53</f>
        <v>211</v>
      </c>
      <c r="U268" s="182">
        <f t="shared" si="968"/>
        <v>17917145.997624997</v>
      </c>
      <c r="V268" s="182"/>
      <c r="W268" s="183">
        <f t="shared" si="969"/>
        <v>0</v>
      </c>
      <c r="X268" s="183"/>
      <c r="Y268" s="183">
        <v>0</v>
      </c>
      <c r="Z268" s="183"/>
      <c r="AA268" s="183">
        <v>0</v>
      </c>
      <c r="AB268" s="182">
        <f t="shared" si="970"/>
        <v>0</v>
      </c>
      <c r="AC268" s="182">
        <f t="shared" si="970"/>
        <v>0</v>
      </c>
      <c r="AD268" s="182"/>
      <c r="AE268" s="182">
        <f>(AD268*$E268*$F268*$G268*$L268*$AE$12)</f>
        <v>0</v>
      </c>
      <c r="AF268" s="182"/>
      <c r="AG268" s="182"/>
      <c r="AH268" s="182"/>
      <c r="AI268" s="182">
        <f>(AH268*$E268*$F268*$G268*$L268*$AI$12)</f>
        <v>0</v>
      </c>
      <c r="AJ268" s="182"/>
      <c r="AK268" s="182"/>
      <c r="AL268" s="182"/>
      <c r="AM268" s="182"/>
      <c r="AN268" s="184"/>
      <c r="AO268" s="182">
        <f>(AN268*$E268*$F268*$G268*$L268*$AO$12)</f>
        <v>0</v>
      </c>
      <c r="AP268" s="182"/>
      <c r="AQ268" s="183">
        <f>(AP268*$E268*$F268*$G268*$L268*$AQ$12)</f>
        <v>0</v>
      </c>
      <c r="AR268" s="182"/>
      <c r="AS268" s="182">
        <f t="shared" si="971"/>
        <v>0</v>
      </c>
      <c r="AT268" s="182"/>
      <c r="AU268" s="182">
        <f>(AT268*$E268*$F268*$G268*$M268*$AU$12)</f>
        <v>0</v>
      </c>
      <c r="AV268" s="188"/>
      <c r="AW268" s="182">
        <f>(AV268*$E268*$F268*$G268*$M268*$AW$12)</f>
        <v>0</v>
      </c>
      <c r="AX268" s="182">
        <v>1</v>
      </c>
      <c r="AY268" s="187">
        <f>(AX268*$E268*$F268*$G268*$M268*$AY$12)</f>
        <v>88782.817200000005</v>
      </c>
      <c r="AZ268" s="182"/>
      <c r="BA268" s="182">
        <f>(AZ268*$E268*$F268*$G268*$L268*$BA$12)</f>
        <v>0</v>
      </c>
      <c r="BB268" s="182"/>
      <c r="BC268" s="182">
        <f>(BB268*$E268*$F268*$G268*$L268*$BC$12)</f>
        <v>0</v>
      </c>
      <c r="BD268" s="182"/>
      <c r="BE268" s="182">
        <f>(BD268*$E268*$F268*$G268*$L268*$BE$12)</f>
        <v>0</v>
      </c>
      <c r="BF268" s="182"/>
      <c r="BG268" s="182">
        <f>(BF268*$E268*$F268*$G268*$L268*$BG$12)</f>
        <v>0</v>
      </c>
      <c r="BH268" s="182"/>
      <c r="BI268" s="183">
        <f>(BH268*$E268*$F268*$G268*$L268*$BI$12)</f>
        <v>0</v>
      </c>
      <c r="BJ268" s="182"/>
      <c r="BK268" s="183">
        <f>(BJ268*$E268*$F268*$G268*$L268*$BK$12)</f>
        <v>0</v>
      </c>
      <c r="BL268" s="182">
        <v>2</v>
      </c>
      <c r="BM268" s="182">
        <f t="shared" si="975"/>
        <v>187772.69895076001</v>
      </c>
      <c r="BN268" s="182">
        <v>1</v>
      </c>
      <c r="BO268" s="182">
        <f>(BN268*$E268*$F268*$G268*$M268*$BO$12)</f>
        <v>88782.817200000005</v>
      </c>
      <c r="BP268" s="182">
        <v>5</v>
      </c>
      <c r="BQ268" s="182">
        <f t="shared" si="976"/>
        <v>434014.46558365005</v>
      </c>
      <c r="BR268" s="182"/>
      <c r="BS268" s="183">
        <f>(BR268*$E268*$F268*$G268*$M268*$BS$12)</f>
        <v>0</v>
      </c>
      <c r="BT268" s="182"/>
      <c r="BU268" s="182">
        <f>(BT268*$E268*$F268*$G268*$M268*$BU$12)</f>
        <v>0</v>
      </c>
      <c r="BV268" s="182"/>
      <c r="BW268" s="182">
        <f>(BV268*$E268*$F268*$G268*$M268*$BW$12)</f>
        <v>0</v>
      </c>
      <c r="BX268" s="182"/>
      <c r="BY268" s="183">
        <f>(BX268*$E268*$F268*$G268*$M268*$BY$12)</f>
        <v>0</v>
      </c>
      <c r="BZ268" s="182">
        <v>1</v>
      </c>
      <c r="CA268" s="187">
        <f t="shared" si="979"/>
        <v>105484.07579009999</v>
      </c>
      <c r="CB268" s="182"/>
      <c r="CC268" s="182">
        <f>(CB268*$E268*$F268*$G268*$L268*$CC$12)</f>
        <v>0</v>
      </c>
      <c r="CD268" s="182"/>
      <c r="CE268" s="182">
        <f>(CD268*$E268*$F268*$G268*$L268*$CE$12)</f>
        <v>0</v>
      </c>
      <c r="CF268" s="182"/>
      <c r="CG268" s="182">
        <f>(CF268*$E268*$F268*$G268*$L268*$CG$12)</f>
        <v>0</v>
      </c>
      <c r="CH268" s="182">
        <v>1</v>
      </c>
      <c r="CI268" s="182">
        <f t="shared" si="980"/>
        <v>89947.889896620007</v>
      </c>
      <c r="CJ268" s="182"/>
      <c r="CK268" s="182"/>
      <c r="CL268" s="182"/>
      <c r="CM268" s="183">
        <f>(CL268*$E268*$F268*$G268*$L268*$CM$12)</f>
        <v>0</v>
      </c>
      <c r="CN268" s="182"/>
      <c r="CO268" s="183">
        <f>(CN268*$E268*$F268*$G268*$L268*$CO$12)</f>
        <v>0</v>
      </c>
      <c r="CP268" s="182">
        <v>2</v>
      </c>
      <c r="CQ268" s="182">
        <f t="shared" si="981"/>
        <v>149090.56357439997</v>
      </c>
      <c r="CR268" s="182"/>
      <c r="CS268" s="182">
        <f>(CR268*$E268*$F268*$G268*$L268*$CS$12)</f>
        <v>0</v>
      </c>
      <c r="CT268" s="182"/>
      <c r="CU268" s="182">
        <f>(CT268*$E268*$F268*$G268*$L268*$CU$12)</f>
        <v>0</v>
      </c>
      <c r="CV268" s="182"/>
      <c r="CW268" s="182">
        <v>0</v>
      </c>
      <c r="CX268" s="182">
        <v>2</v>
      </c>
      <c r="CY268" s="182">
        <f t="shared" si="972"/>
        <v>174206.41544375999</v>
      </c>
      <c r="CZ268" s="182"/>
      <c r="DA268" s="182">
        <v>0</v>
      </c>
      <c r="DB268" s="188"/>
      <c r="DC268" s="182">
        <f>(DB268*$E268*$F268*$G268*$M268*$DC$12)</f>
        <v>0</v>
      </c>
      <c r="DD268" s="182"/>
      <c r="DE268" s="187">
        <f t="shared" si="973"/>
        <v>0</v>
      </c>
      <c r="DF268" s="182"/>
      <c r="DG268" s="182">
        <f>(DF268*$E268*$F268*$G268*$M268*$DG$12)</f>
        <v>0</v>
      </c>
      <c r="DH268" s="189">
        <f>ROUND(1*0.75,0)</f>
        <v>1</v>
      </c>
      <c r="DI268" s="182">
        <f>(DH268*$E268*$F268*$G268*$M268*$DI$12)</f>
        <v>80711.652000000002</v>
      </c>
      <c r="DJ268" s="182"/>
      <c r="DK268" s="182">
        <f>(DJ268*$E268*$F268*$G268*$M268*$DK$12)</f>
        <v>0</v>
      </c>
      <c r="DL268" s="182"/>
      <c r="DM268" s="182">
        <f>(DL268*$E268*$F268*$G268*$N268*$DM$12)</f>
        <v>0</v>
      </c>
      <c r="DN268" s="182">
        <f>ROUND(3*0.75,0)</f>
        <v>2</v>
      </c>
      <c r="DO268" s="190">
        <f>(DN268*$E268*$F268*$G268*$O268*$DO$12)</f>
        <v>246939.22099999999</v>
      </c>
      <c r="DP268" s="187"/>
      <c r="DQ268" s="187"/>
      <c r="DR268" s="183">
        <f t="shared" si="974"/>
        <v>229</v>
      </c>
      <c r="DS268" s="183">
        <f t="shared" si="974"/>
        <v>19562878.614264287</v>
      </c>
      <c r="DT268" s="182">
        <v>229</v>
      </c>
      <c r="DU268" s="182">
        <v>19283454.942300007</v>
      </c>
      <c r="DV268" s="167">
        <f t="shared" si="817"/>
        <v>0</v>
      </c>
      <c r="DW268" s="167">
        <f t="shared" si="817"/>
        <v>279423.67196428031</v>
      </c>
    </row>
    <row r="269" spans="1:127" ht="30" customHeight="1" x14ac:dyDescent="0.25">
      <c r="A269" s="154"/>
      <c r="B269" s="176">
        <v>232</v>
      </c>
      <c r="C269" s="177" t="s">
        <v>620</v>
      </c>
      <c r="D269" s="210" t="s">
        <v>621</v>
      </c>
      <c r="E269" s="158">
        <v>25969</v>
      </c>
      <c r="F269" s="201">
        <v>2.12</v>
      </c>
      <c r="G269" s="168">
        <v>1</v>
      </c>
      <c r="H269" s="169"/>
      <c r="I269" s="169"/>
      <c r="J269" s="169"/>
      <c r="K269" s="106"/>
      <c r="L269" s="180">
        <v>1.4</v>
      </c>
      <c r="M269" s="180">
        <v>1.68</v>
      </c>
      <c r="N269" s="180">
        <v>2.23</v>
      </c>
      <c r="O269" s="181">
        <v>2.57</v>
      </c>
      <c r="P269" s="182"/>
      <c r="Q269" s="182">
        <f>(P269*$E269*$F269*$G269*$L269*$Q$12)</f>
        <v>0</v>
      </c>
      <c r="R269" s="182">
        <v>1</v>
      </c>
      <c r="S269" s="182">
        <f>(R269*$E269*$F269*$G269*$L269*$S$12)</f>
        <v>84783.59120000001</v>
      </c>
      <c r="T269" s="182">
        <v>8</v>
      </c>
      <c r="U269" s="182">
        <f t="shared" si="968"/>
        <v>778467.51919999986</v>
      </c>
      <c r="V269" s="182"/>
      <c r="W269" s="183">
        <f t="shared" si="969"/>
        <v>0</v>
      </c>
      <c r="X269" s="183"/>
      <c r="Y269" s="183">
        <v>0</v>
      </c>
      <c r="Z269" s="183"/>
      <c r="AA269" s="183">
        <v>0</v>
      </c>
      <c r="AB269" s="182">
        <f t="shared" si="970"/>
        <v>0</v>
      </c>
      <c r="AC269" s="182">
        <f t="shared" si="970"/>
        <v>0</v>
      </c>
      <c r="AD269" s="182"/>
      <c r="AE269" s="182">
        <f>(AD269*$E269*$F269*$G269*$L269*$AE$12)</f>
        <v>0</v>
      </c>
      <c r="AF269" s="182"/>
      <c r="AG269" s="182"/>
      <c r="AH269" s="182"/>
      <c r="AI269" s="182">
        <f>(AH269*$E269*$F269*$G269*$L269*$AI$12)</f>
        <v>0</v>
      </c>
      <c r="AJ269" s="182"/>
      <c r="AK269" s="182"/>
      <c r="AL269" s="182"/>
      <c r="AM269" s="182"/>
      <c r="AN269" s="184"/>
      <c r="AO269" s="182">
        <f>(AN269*$E269*$F269*$G269*$L269*$AO$12)</f>
        <v>0</v>
      </c>
      <c r="AP269" s="182"/>
      <c r="AQ269" s="183">
        <f>(AP269*$E269*$F269*$G269*$L269*$AQ$12)</f>
        <v>0</v>
      </c>
      <c r="AR269" s="182"/>
      <c r="AS269" s="182">
        <f t="shared" si="971"/>
        <v>0</v>
      </c>
      <c r="AT269" s="182"/>
      <c r="AU269" s="182">
        <f>(AT269*$E269*$F269*$G269*$M269*$AU$12)</f>
        <v>0</v>
      </c>
      <c r="AV269" s="188"/>
      <c r="AW269" s="182">
        <f>(AV269*$E269*$F269*$G269*$M269*$AW$12)</f>
        <v>0</v>
      </c>
      <c r="AX269" s="182"/>
      <c r="AY269" s="187">
        <f>(AX269*$E269*$F269*$G269*$M269*$AY$12)</f>
        <v>0</v>
      </c>
      <c r="AZ269" s="182"/>
      <c r="BA269" s="182">
        <f>(AZ269*$E269*$F269*$G269*$L269*$BA$12)</f>
        <v>0</v>
      </c>
      <c r="BB269" s="182"/>
      <c r="BC269" s="182">
        <f>(BB269*$E269*$F269*$G269*$L269*$BC$12)</f>
        <v>0</v>
      </c>
      <c r="BD269" s="182"/>
      <c r="BE269" s="182">
        <f>(BD269*$E269*$F269*$G269*$L269*$BE$12)</f>
        <v>0</v>
      </c>
      <c r="BF269" s="182"/>
      <c r="BG269" s="182">
        <f>(BF269*$E269*$F269*$G269*$L269*$BG$12)</f>
        <v>0</v>
      </c>
      <c r="BH269" s="182"/>
      <c r="BI269" s="183">
        <f>(BH269*$E269*$F269*$G269*$L269*$BI$12)</f>
        <v>0</v>
      </c>
      <c r="BJ269" s="182"/>
      <c r="BK269" s="183">
        <f>(BJ269*$E269*$F269*$G269*$L269*$BK$12)</f>
        <v>0</v>
      </c>
      <c r="BL269" s="182"/>
      <c r="BM269" s="182">
        <f>(BL269*$E269*$F269*$G269*$L269*$BM$12)</f>
        <v>0</v>
      </c>
      <c r="BN269" s="182"/>
      <c r="BO269" s="182">
        <f>(BN269*$E269*$F269*$G269*$M269*$BO$12)</f>
        <v>0</v>
      </c>
      <c r="BP269" s="182"/>
      <c r="BQ269" s="182">
        <f>(BP269*$E269*$F269*$G269*$M269*$BQ$12)</f>
        <v>0</v>
      </c>
      <c r="BR269" s="182"/>
      <c r="BS269" s="183">
        <f>(BR269*$E269*$F269*$G269*$M269*$BS$12)</f>
        <v>0</v>
      </c>
      <c r="BT269" s="182"/>
      <c r="BU269" s="182">
        <f>(BT269*$E269*$F269*$G269*$M269*$BU$12)</f>
        <v>0</v>
      </c>
      <c r="BV269" s="182"/>
      <c r="BW269" s="182">
        <f>(BV269*$E269*$F269*$G269*$M269*$BW$12)</f>
        <v>0</v>
      </c>
      <c r="BX269" s="182"/>
      <c r="BY269" s="183">
        <f>(BX269*$E269*$F269*$G269*$M269*$BY$12)</f>
        <v>0</v>
      </c>
      <c r="BZ269" s="182"/>
      <c r="CA269" s="187">
        <f>(BZ269*$E269*$F269*$G269*$M269*$CA$12)</f>
        <v>0</v>
      </c>
      <c r="CB269" s="182"/>
      <c r="CC269" s="182">
        <f>(CB269*$E269*$F269*$G269*$L269*$CC$12)</f>
        <v>0</v>
      </c>
      <c r="CD269" s="182"/>
      <c r="CE269" s="182">
        <f>(CD269*$E269*$F269*$G269*$L269*$CE$12)</f>
        <v>0</v>
      </c>
      <c r="CF269" s="182"/>
      <c r="CG269" s="182">
        <f>(CF269*$E269*$F269*$G269*$L269*$CG$12)</f>
        <v>0</v>
      </c>
      <c r="CH269" s="182"/>
      <c r="CI269" s="182">
        <f>(CH269*$E269*$F269*$G269*$M269*$CI$12)</f>
        <v>0</v>
      </c>
      <c r="CJ269" s="182"/>
      <c r="CK269" s="182"/>
      <c r="CL269" s="182"/>
      <c r="CM269" s="183">
        <f>(CL269*$E269*$F269*$G269*$L269*$CM$12)</f>
        <v>0</v>
      </c>
      <c r="CN269" s="182"/>
      <c r="CO269" s="183">
        <f>(CN269*$E269*$F269*$G269*$L269*$CO$12)</f>
        <v>0</v>
      </c>
      <c r="CP269" s="182"/>
      <c r="CQ269" s="182">
        <f>(CP269*$E269*$F269*$G269*$L269*$CQ$12)</f>
        <v>0</v>
      </c>
      <c r="CR269" s="182"/>
      <c r="CS269" s="182">
        <f>(CR269*$E269*$F269*$G269*$L269*$CS$12)</f>
        <v>0</v>
      </c>
      <c r="CT269" s="182"/>
      <c r="CU269" s="182">
        <f>(CT269*$E269*$F269*$G269*$L269*$CU$12)</f>
        <v>0</v>
      </c>
      <c r="CV269" s="182"/>
      <c r="CW269" s="182">
        <v>0</v>
      </c>
      <c r="CX269" s="182"/>
      <c r="CY269" s="182">
        <f>(CX269*$E269*$F269*$G269*$M269*$CY$12)</f>
        <v>0</v>
      </c>
      <c r="CZ269" s="182"/>
      <c r="DA269" s="182">
        <v>0</v>
      </c>
      <c r="DB269" s="188"/>
      <c r="DC269" s="182">
        <f>(DB269*$E269*$F269*$G269*$M269*$DC$12)</f>
        <v>0</v>
      </c>
      <c r="DD269" s="182"/>
      <c r="DE269" s="187">
        <f t="shared" si="973"/>
        <v>0</v>
      </c>
      <c r="DF269" s="182"/>
      <c r="DG269" s="182">
        <f>(DF269*$E269*$F269*$G269*$M269*$DG$12)</f>
        <v>0</v>
      </c>
      <c r="DH269" s="189"/>
      <c r="DI269" s="182">
        <f>(DH269*$E269*$F269*$G269*$M269*$DI$12)</f>
        <v>0</v>
      </c>
      <c r="DJ269" s="182"/>
      <c r="DK269" s="182">
        <f>(DJ269*$E269*$F269*$G269*$M269*$DK$12)</f>
        <v>0</v>
      </c>
      <c r="DL269" s="182"/>
      <c r="DM269" s="182">
        <f>(DL269*$E269*$F269*$G269*$N269*$DM$12)</f>
        <v>0</v>
      </c>
      <c r="DN269" s="182"/>
      <c r="DO269" s="190">
        <f>(DN269*$E269*$F269*$G269*$O269*$DO$12)</f>
        <v>0</v>
      </c>
      <c r="DP269" s="187"/>
      <c r="DQ269" s="187"/>
      <c r="DR269" s="183">
        <f t="shared" si="974"/>
        <v>9</v>
      </c>
      <c r="DS269" s="183">
        <f t="shared" si="974"/>
        <v>863251.11039999989</v>
      </c>
      <c r="DT269" s="182">
        <v>9</v>
      </c>
      <c r="DU269" s="182">
        <v>855543.51119999995</v>
      </c>
      <c r="DV269" s="167">
        <f t="shared" si="817"/>
        <v>0</v>
      </c>
      <c r="DW269" s="167">
        <f t="shared" si="817"/>
        <v>7707.5991999999387</v>
      </c>
    </row>
    <row r="270" spans="1:127" ht="15.75" customHeight="1" x14ac:dyDescent="0.25">
      <c r="A270" s="170">
        <v>23</v>
      </c>
      <c r="B270" s="197"/>
      <c r="C270" s="198"/>
      <c r="D270" s="211" t="s">
        <v>622</v>
      </c>
      <c r="E270" s="158">
        <v>25969</v>
      </c>
      <c r="F270" s="199">
        <v>1.31</v>
      </c>
      <c r="G270" s="174"/>
      <c r="H270" s="180"/>
      <c r="I270" s="180"/>
      <c r="J270" s="180"/>
      <c r="K270" s="173"/>
      <c r="L270" s="174">
        <v>1.4</v>
      </c>
      <c r="M270" s="174">
        <v>1.68</v>
      </c>
      <c r="N270" s="174">
        <v>2.23</v>
      </c>
      <c r="O270" s="175">
        <v>2.57</v>
      </c>
      <c r="P270" s="166">
        <f t="shared" ref="P270:AD270" si="984">SUM(P271:P276)</f>
        <v>710</v>
      </c>
      <c r="Q270" s="166">
        <f t="shared" si="984"/>
        <v>32559298.556400005</v>
      </c>
      <c r="R270" s="166">
        <f t="shared" si="984"/>
        <v>5</v>
      </c>
      <c r="S270" s="166">
        <f t="shared" si="984"/>
        <v>223956.65600000005</v>
      </c>
      <c r="T270" s="166">
        <f t="shared" si="984"/>
        <v>289</v>
      </c>
      <c r="U270" s="166">
        <f t="shared" si="984"/>
        <v>18516602.707574997</v>
      </c>
      <c r="V270" s="166">
        <f t="shared" si="984"/>
        <v>3</v>
      </c>
      <c r="W270" s="166">
        <f t="shared" si="984"/>
        <v>344001.58862809604</v>
      </c>
      <c r="X270" s="166">
        <v>1</v>
      </c>
      <c r="Y270" s="166">
        <v>46318.308400000002</v>
      </c>
      <c r="Z270" s="166">
        <v>0</v>
      </c>
      <c r="AA270" s="166">
        <v>0</v>
      </c>
      <c r="AB270" s="166">
        <f t="shared" si="984"/>
        <v>1</v>
      </c>
      <c r="AC270" s="166">
        <f t="shared" si="984"/>
        <v>46318.308400000002</v>
      </c>
      <c r="AD270" s="166">
        <f t="shared" si="984"/>
        <v>0</v>
      </c>
      <c r="AE270" s="166">
        <f t="shared" ref="AE270:CP270" si="985">SUM(AE271:AE276)</f>
        <v>0</v>
      </c>
      <c r="AF270" s="166">
        <f t="shared" si="985"/>
        <v>0</v>
      </c>
      <c r="AG270" s="166">
        <f t="shared" si="985"/>
        <v>0</v>
      </c>
      <c r="AH270" s="166">
        <f t="shared" si="985"/>
        <v>240</v>
      </c>
      <c r="AI270" s="166">
        <f t="shared" si="985"/>
        <v>11893698.124</v>
      </c>
      <c r="AJ270" s="166">
        <f>SUM(AJ271:AJ276)</f>
        <v>0</v>
      </c>
      <c r="AK270" s="166">
        <f>SUM(AK271:AK276)</f>
        <v>0</v>
      </c>
      <c r="AL270" s="166">
        <f t="shared" si="985"/>
        <v>0</v>
      </c>
      <c r="AM270" s="166">
        <f t="shared" si="985"/>
        <v>0</v>
      </c>
      <c r="AN270" s="166">
        <f t="shared" si="985"/>
        <v>4</v>
      </c>
      <c r="AO270" s="166">
        <f t="shared" si="985"/>
        <v>134673.86979999999</v>
      </c>
      <c r="AP270" s="166">
        <f t="shared" si="985"/>
        <v>600</v>
      </c>
      <c r="AQ270" s="166">
        <f t="shared" si="985"/>
        <v>29174353.670000002</v>
      </c>
      <c r="AR270" s="166">
        <f t="shared" si="985"/>
        <v>561</v>
      </c>
      <c r="AS270" s="166">
        <f t="shared" si="985"/>
        <v>30599625.541668635</v>
      </c>
      <c r="AT270" s="166">
        <f t="shared" si="985"/>
        <v>117</v>
      </c>
      <c r="AU270" s="166">
        <f t="shared" si="985"/>
        <v>7358008.6839477541</v>
      </c>
      <c r="AV270" s="166">
        <f t="shared" si="985"/>
        <v>2</v>
      </c>
      <c r="AW270" s="166">
        <f t="shared" si="985"/>
        <v>83372.960000000006</v>
      </c>
      <c r="AX270" s="166">
        <f t="shared" si="985"/>
        <v>24</v>
      </c>
      <c r="AY270" s="166">
        <f t="shared" si="985"/>
        <v>1429643.31048</v>
      </c>
      <c r="AZ270" s="166">
        <f t="shared" si="985"/>
        <v>0</v>
      </c>
      <c r="BA270" s="166">
        <f t="shared" si="985"/>
        <v>0</v>
      </c>
      <c r="BB270" s="166">
        <f t="shared" si="985"/>
        <v>0</v>
      </c>
      <c r="BC270" s="166">
        <f t="shared" si="985"/>
        <v>0</v>
      </c>
      <c r="BD270" s="166">
        <f t="shared" si="985"/>
        <v>0</v>
      </c>
      <c r="BE270" s="166">
        <f t="shared" si="985"/>
        <v>0</v>
      </c>
      <c r="BF270" s="166">
        <f t="shared" si="985"/>
        <v>0</v>
      </c>
      <c r="BG270" s="166">
        <f t="shared" si="985"/>
        <v>0</v>
      </c>
      <c r="BH270" s="166">
        <f t="shared" si="985"/>
        <v>0</v>
      </c>
      <c r="BI270" s="166">
        <f t="shared" si="985"/>
        <v>0</v>
      </c>
      <c r="BJ270" s="166">
        <f t="shared" si="985"/>
        <v>0</v>
      </c>
      <c r="BK270" s="166">
        <f t="shared" si="985"/>
        <v>0</v>
      </c>
      <c r="BL270" s="166">
        <f t="shared" si="985"/>
        <v>142</v>
      </c>
      <c r="BM270" s="166">
        <f t="shared" si="985"/>
        <v>8291940.8869093731</v>
      </c>
      <c r="BN270" s="166">
        <f t="shared" si="985"/>
        <v>605</v>
      </c>
      <c r="BO270" s="166">
        <f t="shared" si="985"/>
        <v>36440307.435840003</v>
      </c>
      <c r="BP270" s="166">
        <f t="shared" si="985"/>
        <v>293</v>
      </c>
      <c r="BQ270" s="166">
        <f t="shared" si="985"/>
        <v>17533715.204751804</v>
      </c>
      <c r="BR270" s="166">
        <f t="shared" si="985"/>
        <v>0</v>
      </c>
      <c r="BS270" s="166">
        <f t="shared" si="985"/>
        <v>0</v>
      </c>
      <c r="BT270" s="166">
        <f t="shared" si="985"/>
        <v>195</v>
      </c>
      <c r="BU270" s="166">
        <f t="shared" si="985"/>
        <v>9567703.3084132411</v>
      </c>
      <c r="BV270" s="166">
        <f t="shared" si="985"/>
        <v>26</v>
      </c>
      <c r="BW270" s="166">
        <f t="shared" si="985"/>
        <v>1226642.5987199999</v>
      </c>
      <c r="BX270" s="166">
        <f t="shared" si="985"/>
        <v>107</v>
      </c>
      <c r="BY270" s="166">
        <f t="shared" si="985"/>
        <v>7606848.5346631669</v>
      </c>
      <c r="BZ270" s="166">
        <f t="shared" si="985"/>
        <v>139</v>
      </c>
      <c r="CA270" s="166">
        <f t="shared" si="985"/>
        <v>10001030.753288398</v>
      </c>
      <c r="CB270" s="166">
        <f t="shared" si="985"/>
        <v>895</v>
      </c>
      <c r="CC270" s="166">
        <f t="shared" si="985"/>
        <v>49394491.528211668</v>
      </c>
      <c r="CD270" s="166">
        <f t="shared" si="985"/>
        <v>392</v>
      </c>
      <c r="CE270" s="166">
        <f t="shared" si="985"/>
        <v>18700380.776000001</v>
      </c>
      <c r="CF270" s="166">
        <f t="shared" si="985"/>
        <v>0</v>
      </c>
      <c r="CG270" s="166">
        <f t="shared" si="985"/>
        <v>0</v>
      </c>
      <c r="CH270" s="166">
        <f t="shared" si="985"/>
        <v>254</v>
      </c>
      <c r="CI270" s="166">
        <f t="shared" si="985"/>
        <v>15677674.106575739</v>
      </c>
      <c r="CJ270" s="166">
        <f t="shared" si="985"/>
        <v>0</v>
      </c>
      <c r="CK270" s="166">
        <f t="shared" si="985"/>
        <v>0</v>
      </c>
      <c r="CL270" s="166">
        <f t="shared" si="985"/>
        <v>26</v>
      </c>
      <c r="CM270" s="166">
        <f t="shared" si="985"/>
        <v>854234.6736000001</v>
      </c>
      <c r="CN270" s="166">
        <f t="shared" si="985"/>
        <v>35</v>
      </c>
      <c r="CO270" s="166">
        <f t="shared" si="985"/>
        <v>1253575.568</v>
      </c>
      <c r="CP270" s="166">
        <f t="shared" si="985"/>
        <v>173</v>
      </c>
      <c r="CQ270" s="166">
        <f t="shared" ref="CQ270:DQ270" si="986">SUM(CQ271:CQ276)</f>
        <v>8810446.4123087991</v>
      </c>
      <c r="CR270" s="166">
        <f t="shared" si="986"/>
        <v>108</v>
      </c>
      <c r="CS270" s="166">
        <f t="shared" si="986"/>
        <v>5819706.3912924537</v>
      </c>
      <c r="CT270" s="166">
        <f t="shared" si="986"/>
        <v>164</v>
      </c>
      <c r="CU270" s="166">
        <f t="shared" si="986"/>
        <v>7976096.8429237194</v>
      </c>
      <c r="CV270" s="166">
        <f t="shared" si="986"/>
        <v>365</v>
      </c>
      <c r="CW270" s="166">
        <v>20331047.440000035</v>
      </c>
      <c r="CX270" s="166">
        <f t="shared" si="986"/>
        <v>188</v>
      </c>
      <c r="CY270" s="166">
        <f t="shared" si="986"/>
        <v>9527207.61217428</v>
      </c>
      <c r="CZ270" s="166">
        <f t="shared" si="986"/>
        <v>70</v>
      </c>
      <c r="DA270" s="166">
        <v>3838820.8200000045</v>
      </c>
      <c r="DB270" s="166">
        <f t="shared" si="986"/>
        <v>220</v>
      </c>
      <c r="DC270" s="166">
        <f t="shared" si="986"/>
        <v>10890183.250800002</v>
      </c>
      <c r="DD270" s="166">
        <f t="shared" si="986"/>
        <v>0</v>
      </c>
      <c r="DE270" s="166">
        <f t="shared" si="986"/>
        <v>0</v>
      </c>
      <c r="DF270" s="166">
        <f t="shared" si="986"/>
        <v>0</v>
      </c>
      <c r="DG270" s="166">
        <f t="shared" si="986"/>
        <v>0</v>
      </c>
      <c r="DH270" s="166">
        <f t="shared" si="986"/>
        <v>2</v>
      </c>
      <c r="DI270" s="166">
        <f t="shared" si="986"/>
        <v>104270.72880000001</v>
      </c>
      <c r="DJ270" s="166">
        <f t="shared" si="986"/>
        <v>86</v>
      </c>
      <c r="DK270" s="166">
        <f t="shared" si="986"/>
        <v>5076901.3458258202</v>
      </c>
      <c r="DL270" s="166">
        <f t="shared" si="986"/>
        <v>16</v>
      </c>
      <c r="DM270" s="166">
        <f t="shared" si="986"/>
        <v>937576.98530000006</v>
      </c>
      <c r="DN270" s="166">
        <f t="shared" si="986"/>
        <v>42</v>
      </c>
      <c r="DO270" s="166">
        <f t="shared" si="986"/>
        <v>3534567.8768000002</v>
      </c>
      <c r="DP270" s="166">
        <f t="shared" si="986"/>
        <v>0</v>
      </c>
      <c r="DQ270" s="166">
        <f t="shared" si="986"/>
        <v>0</v>
      </c>
      <c r="DR270" s="166">
        <f>SUM(DR271:DR276)</f>
        <v>7099</v>
      </c>
      <c r="DS270" s="166">
        <f t="shared" ref="DS270" si="987">SUM(DS271:DS276)</f>
        <v>385758925.05809796</v>
      </c>
      <c r="DT270" s="166">
        <v>7098</v>
      </c>
      <c r="DU270" s="166">
        <v>366901936.18447006</v>
      </c>
      <c r="DV270" s="167">
        <f t="shared" si="817"/>
        <v>1</v>
      </c>
      <c r="DW270" s="167">
        <f t="shared" si="817"/>
        <v>18856988.873627901</v>
      </c>
    </row>
    <row r="271" spans="1:127" ht="22.5" customHeight="1" x14ac:dyDescent="0.25">
      <c r="A271" s="154"/>
      <c r="B271" s="176">
        <v>233</v>
      </c>
      <c r="C271" s="177" t="s">
        <v>623</v>
      </c>
      <c r="D271" s="210" t="s">
        <v>624</v>
      </c>
      <c r="E271" s="158">
        <v>25969</v>
      </c>
      <c r="F271" s="179">
        <v>0.85</v>
      </c>
      <c r="G271" s="168">
        <v>1</v>
      </c>
      <c r="H271" s="169"/>
      <c r="I271" s="169"/>
      <c r="J271" s="169"/>
      <c r="K271" s="106"/>
      <c r="L271" s="180">
        <v>1.4</v>
      </c>
      <c r="M271" s="180">
        <v>1.68</v>
      </c>
      <c r="N271" s="180">
        <v>2.23</v>
      </c>
      <c r="O271" s="181">
        <v>2.57</v>
      </c>
      <c r="P271" s="182">
        <v>50</v>
      </c>
      <c r="Q271" s="182">
        <f t="shared" ref="Q271:Q276" si="988">(P271*$E271*$F271*$G271*$L271*$Q$12)</f>
        <v>1699671.05</v>
      </c>
      <c r="R271" s="182">
        <v>1</v>
      </c>
      <c r="S271" s="182">
        <f t="shared" ref="S271:S276" si="989">(R271*$E271*$F271*$G271*$L271*$S$12)</f>
        <v>33993.420999999995</v>
      </c>
      <c r="T271" s="182">
        <v>9</v>
      </c>
      <c r="U271" s="182">
        <f t="shared" ref="U271:U276" si="990">(T271/12*11*$E271*$F271*$G271*$L271*$U$12)+(T271/12*1*$E271*$F271*$G271*$L271*$U$14)</f>
        <v>351136.58737499994</v>
      </c>
      <c r="V271" s="182"/>
      <c r="W271" s="183">
        <f t="shared" ref="W271:W276" si="991">(V271*$E271*$F271*$G271*$L271*$W$12)/12*10+(V271*$E271*$F271*$G271*$L271*$W$13)/12*1++(V271*$E271*$F271*$G271*$L271*$W$14)/12*1</f>
        <v>0</v>
      </c>
      <c r="X271" s="183"/>
      <c r="Y271" s="183">
        <v>0</v>
      </c>
      <c r="Z271" s="183"/>
      <c r="AA271" s="183">
        <v>0</v>
      </c>
      <c r="AB271" s="182">
        <f t="shared" ref="AB271:AC276" si="992">X271+Z271</f>
        <v>0</v>
      </c>
      <c r="AC271" s="182">
        <f t="shared" si="992"/>
        <v>0</v>
      </c>
      <c r="AD271" s="182"/>
      <c r="AE271" s="182">
        <f t="shared" ref="AE271:AE276" si="993">(AD271*$E271*$F271*$G271*$L271*$AE$12)</f>
        <v>0</v>
      </c>
      <c r="AF271" s="182"/>
      <c r="AG271" s="182"/>
      <c r="AH271" s="182"/>
      <c r="AI271" s="182">
        <f t="shared" ref="AI271:AI276" si="994">(AH271*$E271*$F271*$G271*$L271*$AI$12)</f>
        <v>0</v>
      </c>
      <c r="AJ271" s="182"/>
      <c r="AK271" s="182"/>
      <c r="AL271" s="182"/>
      <c r="AM271" s="182"/>
      <c r="AN271" s="205">
        <v>1</v>
      </c>
      <c r="AO271" s="182">
        <v>25495</v>
      </c>
      <c r="AP271" s="182">
        <v>50</v>
      </c>
      <c r="AQ271" s="183">
        <f t="shared" ref="AQ271:AQ276" si="995">(AP271*$E271*$F271*$G271*$L271*$AQ$12)</f>
        <v>1699671.05</v>
      </c>
      <c r="AR271" s="182">
        <v>3</v>
      </c>
      <c r="AS271" s="182">
        <f t="shared" ref="AS271:AS275" si="996">(AR271*$E271*$F271*$G271*$L271*$AS$12)/12*10+(AR271*$E271*$F271*$G271*$L271*$AS$13)/12*1+(AR271*$E271*$F271*$L271*$G271*$AS$14*$AS$15)/12*1</f>
        <v>110090.78421949998</v>
      </c>
      <c r="AT271" s="182">
        <v>2</v>
      </c>
      <c r="AU271" s="182">
        <f t="shared" ref="AU271:AU275" si="997">(AT271*$E271*$F271*$G271*$M271*$AU$12)/12*10+(AT271*$E271*$F271*$G271*$M271*$AU$13)/12+(AT271*$E271*$F271*$G271*$M271*$AU$14*$AU$15)/12</f>
        <v>85470.548429867995</v>
      </c>
      <c r="AV271" s="186"/>
      <c r="AW271" s="182">
        <f t="shared" ref="AW271:AW276" si="998">(AV271*$E271*$F271*$G271*$M271*$AW$12)</f>
        <v>0</v>
      </c>
      <c r="AX271" s="182"/>
      <c r="AY271" s="187">
        <f t="shared" ref="AY271:AY276" si="999">(AX271*$E271*$F271*$G271*$M271*$AY$12)</f>
        <v>0</v>
      </c>
      <c r="AZ271" s="182"/>
      <c r="BA271" s="182">
        <f t="shared" ref="BA271:BA276" si="1000">(AZ271*$E271*$F271*$G271*$L271*$BA$12)</f>
        <v>0</v>
      </c>
      <c r="BB271" s="182"/>
      <c r="BC271" s="182">
        <f t="shared" ref="BC271:BC276" si="1001">(BB271*$E271*$F271*$G271*$L271*$BC$12)</f>
        <v>0</v>
      </c>
      <c r="BD271" s="182"/>
      <c r="BE271" s="182">
        <f t="shared" ref="BE271:BE276" si="1002">(BD271*$E271*$F271*$G271*$L271*$BE$12)</f>
        <v>0</v>
      </c>
      <c r="BF271" s="182"/>
      <c r="BG271" s="182">
        <f t="shared" ref="BG271:BG276" si="1003">(BF271*$E271*$F271*$G271*$L271*$BG$12)</f>
        <v>0</v>
      </c>
      <c r="BH271" s="182"/>
      <c r="BI271" s="183">
        <f t="shared" ref="BI271:BI276" si="1004">(BH271*$E271*$F271*$G271*$L271*$BI$12)</f>
        <v>0</v>
      </c>
      <c r="BJ271" s="182"/>
      <c r="BK271" s="183">
        <f t="shared" ref="BK271:BK276" si="1005">(BJ271*$E271*$F271*$G271*$L271*$BK$12)</f>
        <v>0</v>
      </c>
      <c r="BL271" s="182">
        <v>40</v>
      </c>
      <c r="BM271" s="182">
        <f t="shared" ref="BM271:BM276" si="1006">(BL271/12*11*$E271*$F271*$G271*$L271*$BM$12)+(BL271/12*$E271*$F271*$G271*$L271*$BM$12*$BM$15)</f>
        <v>1725478.8552232001</v>
      </c>
      <c r="BN271" s="182">
        <v>9</v>
      </c>
      <c r="BO271" s="182">
        <f t="shared" ref="BO271:BO276" si="1007">(BN271*$E271*$F271*$G271*$M271*$BO$12)</f>
        <v>367128.94680000003</v>
      </c>
      <c r="BP271" s="182"/>
      <c r="BQ271" s="182">
        <f t="shared" ref="BQ271:BQ275" si="1008">(BP271*$E271*$F271*$G271*$M271*$BQ$12)</f>
        <v>0</v>
      </c>
      <c r="BR271" s="182"/>
      <c r="BS271" s="183">
        <f t="shared" ref="BS271:BS276" si="1009">(BR271*$E271*$F271*$G271*$M271*$BS$12)</f>
        <v>0</v>
      </c>
      <c r="BT271" s="182">
        <v>120</v>
      </c>
      <c r="BU271" s="182">
        <f t="shared" ref="BU271:BU276" si="1010">(BT271*$E271*$F271*$G271*$M271*$BU$12)/12*10+(BT271*$E271*$F271*$G271*$M271*$BU$13)/12+(BT271*$E271*$F271*$G271*$M271*$BU$13*$BU$15)/12</f>
        <v>4957359.2271571197</v>
      </c>
      <c r="BV271" s="182"/>
      <c r="BW271" s="182">
        <f t="shared" ref="BW271:BW276" si="1011">(BV271*$E271*$F271*$G271*$M271*$BW$12)</f>
        <v>0</v>
      </c>
      <c r="BX271" s="182">
        <v>9</v>
      </c>
      <c r="BY271" s="183">
        <f t="shared" ref="BY271:BY276" si="1012">(BX271*$E271*$F271*$G271*$M271*$BY$12)/12*11+(BX271*$E271*$F271*$G271*$M271*$BY$12*$BY$15)/12</f>
        <v>450126.78906383994</v>
      </c>
      <c r="BZ271" s="182"/>
      <c r="CA271" s="187">
        <f t="shared" ref="CA271:CA273" si="1013">(BZ271*$E271*$F271*$G271*$M271*$CA$12)</f>
        <v>0</v>
      </c>
      <c r="CB271" s="182"/>
      <c r="CC271" s="182">
        <f t="shared" ref="CC271" si="1014">(CB271*$E271*$F271*$G271*$L271*$CC$12)</f>
        <v>0</v>
      </c>
      <c r="CD271" s="182"/>
      <c r="CE271" s="182">
        <f t="shared" ref="CE271:CE276" si="1015">(CD271*$E271*$F271*$G271*$L271*$CE$12)</f>
        <v>0</v>
      </c>
      <c r="CF271" s="182"/>
      <c r="CG271" s="182">
        <f t="shared" ref="CG271:CG276" si="1016">(CF271*$E271*$F271*$G271*$L271*$CG$12)</f>
        <v>0</v>
      </c>
      <c r="CH271" s="182"/>
      <c r="CI271" s="182">
        <f t="shared" ref="CI271:CI273" si="1017">(CH271*$E271*$F271*$G271*$M271*$CI$12)</f>
        <v>0</v>
      </c>
      <c r="CJ271" s="182"/>
      <c r="CK271" s="182"/>
      <c r="CL271" s="182"/>
      <c r="CM271" s="183">
        <f t="shared" ref="CM271:CM276" si="1018">(CL271*$E271*$F271*$G271*$L271*$CM$12)</f>
        <v>0</v>
      </c>
      <c r="CN271" s="182"/>
      <c r="CO271" s="183">
        <f t="shared" ref="CO271:CO276" si="1019">(CN271*$E271*$F271*$G271*$L271*$CO$12)</f>
        <v>0</v>
      </c>
      <c r="CP271" s="182"/>
      <c r="CQ271" s="182">
        <f t="shared" ref="CQ271:CQ273" si="1020">(CP271*$E271*$F271*$G271*$L271*$CQ$12)</f>
        <v>0</v>
      </c>
      <c r="CR271" s="182"/>
      <c r="CS271" s="182">
        <f t="shared" ref="CS271:CS273" si="1021">(CR271*$E271*$F271*$G271*$L271*$CS$12)</f>
        <v>0</v>
      </c>
      <c r="CT271" s="182"/>
      <c r="CU271" s="182">
        <f t="shared" ref="CU271:CU273" si="1022">(CT271*$E271*$F271*$G271*$L271*$CU$12)</f>
        <v>0</v>
      </c>
      <c r="CV271" s="182">
        <v>3</v>
      </c>
      <c r="CW271" s="182">
        <v>111251.19</v>
      </c>
      <c r="CX271" s="182">
        <f>100-12</f>
        <v>88</v>
      </c>
      <c r="CY271" s="182">
        <f t="shared" ref="CY271" si="1023">(CX271/12*11*$E271*$F271*$G271*$M271*$CY$12)+(CX271/12*$E271*$F271*$G271*$M271*$CY$15*$CY$12)</f>
        <v>3521794.5608630399</v>
      </c>
      <c r="CZ271" s="182"/>
      <c r="DA271" s="182">
        <v>0</v>
      </c>
      <c r="DB271" s="188"/>
      <c r="DC271" s="182">
        <f t="shared" ref="DC271:DC276" si="1024">(DB271*$E271*$F271*$G271*$M271*$DC$12)</f>
        <v>0</v>
      </c>
      <c r="DD271" s="182"/>
      <c r="DE271" s="187">
        <f t="shared" ref="DE271:DE276" si="1025">(DD271*$E271*$F271*$G271*$M271*DE$12)</f>
        <v>0</v>
      </c>
      <c r="DF271" s="182"/>
      <c r="DG271" s="182">
        <f t="shared" ref="DG271:DG276" si="1026">(DF271*$E271*$F271*$G271*$M271*$DG$12)</f>
        <v>0</v>
      </c>
      <c r="DH271" s="189"/>
      <c r="DI271" s="182">
        <f t="shared" ref="DI271:DI276" si="1027">(DH271*$E271*$F271*$G271*$M271*$DI$12)</f>
        <v>0</v>
      </c>
      <c r="DJ271" s="182"/>
      <c r="DK271" s="182">
        <f t="shared" ref="DK271:DK273" si="1028">(DJ271*$E271*$F271*$G271*$M271*$DK$12)</f>
        <v>0</v>
      </c>
      <c r="DL271" s="182">
        <f>ROUND(10*0.75,0)</f>
        <v>8</v>
      </c>
      <c r="DM271" s="182">
        <f t="shared" ref="DM271:DM276" si="1029">(DL271*$E271*$F271*$G271*$N271*$DM$12)</f>
        <v>393793.91599999997</v>
      </c>
      <c r="DN271" s="182"/>
      <c r="DO271" s="190">
        <f t="shared" ref="DO271:DO276" si="1030">(DN271*$E271*$F271*$G271*$O271*$DO$12)</f>
        <v>0</v>
      </c>
      <c r="DP271" s="187"/>
      <c r="DQ271" s="187"/>
      <c r="DR271" s="183">
        <f t="shared" ref="DR271:DS276" si="1031">SUM(P271,R271,T271,V271,AB271,AJ271,AD271,AF271,AH271,AL271,AN271,AP271,AV271,AZ271,BB271,CF271,AR271,BF271,BH271,BJ271,CT271,BL271,BN271,AT271,BR271,AX271,CV271,BT271,CX271,BV271,BX271,BZ271,CH271,CB271,CD271,CJ271,CL271,CN271,CP271,CR271,CZ271,DB271,BP271,BD271,DD271,DF271,DH271,DJ271,DL271,DN271,DP271)</f>
        <v>393</v>
      </c>
      <c r="DS271" s="183">
        <f t="shared" si="1031"/>
        <v>15532461.926131567</v>
      </c>
      <c r="DT271" s="182">
        <v>392</v>
      </c>
      <c r="DU271" s="182">
        <v>14579557.458649999</v>
      </c>
      <c r="DV271" s="167">
        <f t="shared" si="817"/>
        <v>1</v>
      </c>
      <c r="DW271" s="167">
        <f t="shared" si="817"/>
        <v>952904.46748156846</v>
      </c>
    </row>
    <row r="272" spans="1:127" ht="45" customHeight="1" x14ac:dyDescent="0.25">
      <c r="A272" s="154"/>
      <c r="B272" s="176">
        <v>234</v>
      </c>
      <c r="C272" s="177" t="s">
        <v>625</v>
      </c>
      <c r="D272" s="210" t="s">
        <v>626</v>
      </c>
      <c r="E272" s="158">
        <v>25969</v>
      </c>
      <c r="F272" s="179">
        <v>2.48</v>
      </c>
      <c r="G272" s="168">
        <v>1</v>
      </c>
      <c r="H272" s="169"/>
      <c r="I272" s="169"/>
      <c r="J272" s="169"/>
      <c r="K272" s="106"/>
      <c r="L272" s="180">
        <v>1.4</v>
      </c>
      <c r="M272" s="180">
        <v>1.68</v>
      </c>
      <c r="N272" s="180">
        <v>2.23</v>
      </c>
      <c r="O272" s="181">
        <v>2.57</v>
      </c>
      <c r="P272" s="182">
        <v>1</v>
      </c>
      <c r="Q272" s="182">
        <f t="shared" si="988"/>
        <v>99180.804800000013</v>
      </c>
      <c r="R272" s="182"/>
      <c r="S272" s="182">
        <f t="shared" si="989"/>
        <v>0</v>
      </c>
      <c r="T272" s="182">
        <v>33</v>
      </c>
      <c r="U272" s="182">
        <f t="shared" si="990"/>
        <v>3756472.9817999993</v>
      </c>
      <c r="V272" s="182">
        <v>3</v>
      </c>
      <c r="W272" s="183">
        <f>(V272*$E272*$F272*$G272*$L272*$W$12)/12*10+(V272*$E272*$F272*$G272*$L272*$W$13)/12*1+(V272*$E272*$F272*$G272*$L272*$W$14*$W$15)/12*1</f>
        <v>344001.58862809604</v>
      </c>
      <c r="X272" s="183"/>
      <c r="Y272" s="183">
        <v>0</v>
      </c>
      <c r="Z272" s="183"/>
      <c r="AA272" s="183">
        <v>0</v>
      </c>
      <c r="AB272" s="182">
        <f t="shared" si="992"/>
        <v>0</v>
      </c>
      <c r="AC272" s="182">
        <f t="shared" si="992"/>
        <v>0</v>
      </c>
      <c r="AD272" s="182"/>
      <c r="AE272" s="182">
        <f t="shared" si="993"/>
        <v>0</v>
      </c>
      <c r="AF272" s="182"/>
      <c r="AG272" s="182"/>
      <c r="AH272" s="182"/>
      <c r="AI272" s="182">
        <f t="shared" si="994"/>
        <v>0</v>
      </c>
      <c r="AJ272" s="182"/>
      <c r="AK272" s="182"/>
      <c r="AL272" s="182"/>
      <c r="AM272" s="182"/>
      <c r="AN272" s="184"/>
      <c r="AO272" s="182">
        <f t="shared" ref="AO272:AO276" si="1032">(AN272*$E272*$F272*$G272*$L272*$AO$12)</f>
        <v>0</v>
      </c>
      <c r="AP272" s="182"/>
      <c r="AQ272" s="183">
        <f t="shared" si="995"/>
        <v>0</v>
      </c>
      <c r="AR272" s="182"/>
      <c r="AS272" s="182">
        <f t="shared" si="996"/>
        <v>0</v>
      </c>
      <c r="AT272" s="182"/>
      <c r="AU272" s="182">
        <f t="shared" si="997"/>
        <v>0</v>
      </c>
      <c r="AV272" s="188"/>
      <c r="AW272" s="182">
        <f t="shared" si="998"/>
        <v>0</v>
      </c>
      <c r="AX272" s="182">
        <v>1</v>
      </c>
      <c r="AY272" s="187">
        <f t="shared" si="999"/>
        <v>119016.96576000001</v>
      </c>
      <c r="AZ272" s="182"/>
      <c r="BA272" s="182">
        <f t="shared" si="1000"/>
        <v>0</v>
      </c>
      <c r="BB272" s="182">
        <v>0</v>
      </c>
      <c r="BC272" s="182">
        <f t="shared" si="1001"/>
        <v>0</v>
      </c>
      <c r="BD272" s="182"/>
      <c r="BE272" s="182">
        <f t="shared" si="1002"/>
        <v>0</v>
      </c>
      <c r="BF272" s="182"/>
      <c r="BG272" s="182">
        <f t="shared" si="1003"/>
        <v>0</v>
      </c>
      <c r="BH272" s="182"/>
      <c r="BI272" s="183">
        <f t="shared" si="1004"/>
        <v>0</v>
      </c>
      <c r="BJ272" s="182"/>
      <c r="BK272" s="183">
        <f t="shared" si="1005"/>
        <v>0</v>
      </c>
      <c r="BL272" s="182">
        <v>1</v>
      </c>
      <c r="BM272" s="182">
        <f t="shared" si="1006"/>
        <v>125858.45767510399</v>
      </c>
      <c r="BN272" s="182">
        <v>2</v>
      </c>
      <c r="BO272" s="182">
        <f t="shared" si="1007"/>
        <v>238033.93152000001</v>
      </c>
      <c r="BP272" s="182"/>
      <c r="BQ272" s="182">
        <f t="shared" si="1008"/>
        <v>0</v>
      </c>
      <c r="BR272" s="182"/>
      <c r="BS272" s="183">
        <f t="shared" si="1009"/>
        <v>0</v>
      </c>
      <c r="BT272" s="182"/>
      <c r="BU272" s="182">
        <f t="shared" si="1010"/>
        <v>0</v>
      </c>
      <c r="BV272" s="182"/>
      <c r="BW272" s="182">
        <f t="shared" si="1011"/>
        <v>0</v>
      </c>
      <c r="BX272" s="182"/>
      <c r="BY272" s="183">
        <f t="shared" si="1012"/>
        <v>0</v>
      </c>
      <c r="BZ272" s="182"/>
      <c r="CA272" s="187">
        <f t="shared" si="1013"/>
        <v>0</v>
      </c>
      <c r="CB272" s="182">
        <v>5</v>
      </c>
      <c r="CC272" s="182">
        <f t="shared" ref="CC272:CC276" si="1033">(CB272*$E272*$F272*$G272*$L272*$CC$12)/12*11+(CB272*$E272*$F272*$G272*$L272*$CC$12*$CC$15)/12</f>
        <v>535628.94180133333</v>
      </c>
      <c r="CD272" s="182">
        <v>12</v>
      </c>
      <c r="CE272" s="182">
        <f t="shared" si="1015"/>
        <v>1081972.416</v>
      </c>
      <c r="CF272" s="182"/>
      <c r="CG272" s="182">
        <f t="shared" si="1016"/>
        <v>0</v>
      </c>
      <c r="CH272" s="182"/>
      <c r="CI272" s="182">
        <f t="shared" si="1017"/>
        <v>0</v>
      </c>
      <c r="CJ272" s="182"/>
      <c r="CK272" s="182"/>
      <c r="CL272" s="182"/>
      <c r="CM272" s="183">
        <f t="shared" si="1018"/>
        <v>0</v>
      </c>
      <c r="CN272" s="182"/>
      <c r="CO272" s="183">
        <f t="shared" si="1019"/>
        <v>0</v>
      </c>
      <c r="CP272" s="182"/>
      <c r="CQ272" s="182">
        <f t="shared" si="1020"/>
        <v>0</v>
      </c>
      <c r="CR272" s="182"/>
      <c r="CS272" s="182">
        <f t="shared" si="1021"/>
        <v>0</v>
      </c>
      <c r="CT272" s="182"/>
      <c r="CU272" s="182">
        <f t="shared" si="1022"/>
        <v>0</v>
      </c>
      <c r="CV272" s="182"/>
      <c r="CW272" s="182">
        <v>0</v>
      </c>
      <c r="CX272" s="182"/>
      <c r="CY272" s="182">
        <f t="shared" ref="CY272:CY273" si="1034">(CX272*$E272*$F272*$G272*$M272*$CY$12)</f>
        <v>0</v>
      </c>
      <c r="CZ272" s="182"/>
      <c r="DA272" s="182">
        <v>0</v>
      </c>
      <c r="DB272" s="188"/>
      <c r="DC272" s="182">
        <f t="shared" si="1024"/>
        <v>0</v>
      </c>
      <c r="DD272" s="182"/>
      <c r="DE272" s="187">
        <f t="shared" si="1025"/>
        <v>0</v>
      </c>
      <c r="DF272" s="182"/>
      <c r="DG272" s="182">
        <f t="shared" si="1026"/>
        <v>0</v>
      </c>
      <c r="DH272" s="189"/>
      <c r="DI272" s="182">
        <f t="shared" si="1027"/>
        <v>0</v>
      </c>
      <c r="DJ272" s="182"/>
      <c r="DK272" s="182">
        <f t="shared" si="1028"/>
        <v>0</v>
      </c>
      <c r="DL272" s="182"/>
      <c r="DM272" s="182">
        <f t="shared" si="1029"/>
        <v>0</v>
      </c>
      <c r="DN272" s="182"/>
      <c r="DO272" s="190">
        <f t="shared" si="1030"/>
        <v>0</v>
      </c>
      <c r="DP272" s="187"/>
      <c r="DQ272" s="187"/>
      <c r="DR272" s="183">
        <f t="shared" si="1031"/>
        <v>58</v>
      </c>
      <c r="DS272" s="183">
        <f t="shared" si="1031"/>
        <v>6300166.087984533</v>
      </c>
      <c r="DT272" s="182">
        <v>58</v>
      </c>
      <c r="DU272" s="182">
        <v>6159127.9780799998</v>
      </c>
      <c r="DV272" s="167">
        <f t="shared" si="817"/>
        <v>0</v>
      </c>
      <c r="DW272" s="167">
        <f t="shared" si="817"/>
        <v>141038.10990453325</v>
      </c>
    </row>
    <row r="273" spans="1:127" ht="45" customHeight="1" x14ac:dyDescent="0.25">
      <c r="A273" s="154"/>
      <c r="B273" s="176">
        <v>235</v>
      </c>
      <c r="C273" s="177" t="s">
        <v>627</v>
      </c>
      <c r="D273" s="210" t="s">
        <v>628</v>
      </c>
      <c r="E273" s="158">
        <v>25969</v>
      </c>
      <c r="F273" s="179">
        <v>0.91</v>
      </c>
      <c r="G273" s="168">
        <v>1</v>
      </c>
      <c r="H273" s="169"/>
      <c r="I273" s="169"/>
      <c r="J273" s="169"/>
      <c r="K273" s="106"/>
      <c r="L273" s="180">
        <v>1.4</v>
      </c>
      <c r="M273" s="180">
        <v>1.68</v>
      </c>
      <c r="N273" s="180">
        <v>2.23</v>
      </c>
      <c r="O273" s="181">
        <v>2.57</v>
      </c>
      <c r="P273" s="182">
        <v>8</v>
      </c>
      <c r="Q273" s="182">
        <f t="shared" si="988"/>
        <v>291143.65280000004</v>
      </c>
      <c r="R273" s="182">
        <v>1</v>
      </c>
      <c r="S273" s="182">
        <f t="shared" si="989"/>
        <v>36392.956600000005</v>
      </c>
      <c r="T273" s="182">
        <v>5</v>
      </c>
      <c r="U273" s="182">
        <f t="shared" si="990"/>
        <v>208845.94412500004</v>
      </c>
      <c r="V273" s="182"/>
      <c r="W273" s="183">
        <f t="shared" si="991"/>
        <v>0</v>
      </c>
      <c r="X273" s="183">
        <v>1</v>
      </c>
      <c r="Y273" s="183">
        <v>46318.308400000002</v>
      </c>
      <c r="Z273" s="183">
        <v>0</v>
      </c>
      <c r="AA273" s="183">
        <v>0</v>
      </c>
      <c r="AB273" s="182">
        <f t="shared" si="992"/>
        <v>1</v>
      </c>
      <c r="AC273" s="182">
        <f t="shared" si="992"/>
        <v>46318.308400000002</v>
      </c>
      <c r="AD273" s="182"/>
      <c r="AE273" s="182">
        <f t="shared" si="993"/>
        <v>0</v>
      </c>
      <c r="AF273" s="182"/>
      <c r="AG273" s="182"/>
      <c r="AH273" s="182">
        <v>15</v>
      </c>
      <c r="AI273" s="182">
        <f t="shared" si="994"/>
        <v>545894.34900000005</v>
      </c>
      <c r="AJ273" s="182"/>
      <c r="AK273" s="182"/>
      <c r="AL273" s="182"/>
      <c r="AM273" s="182"/>
      <c r="AN273" s="182">
        <v>3</v>
      </c>
      <c r="AO273" s="182">
        <f t="shared" si="1032"/>
        <v>109178.86979999999</v>
      </c>
      <c r="AP273" s="182"/>
      <c r="AQ273" s="183">
        <f t="shared" si="995"/>
        <v>0</v>
      </c>
      <c r="AR273" s="182">
        <v>1</v>
      </c>
      <c r="AS273" s="182">
        <f t="shared" si="996"/>
        <v>39287.29946656667</v>
      </c>
      <c r="AT273" s="182"/>
      <c r="AU273" s="182">
        <f t="shared" si="997"/>
        <v>0</v>
      </c>
      <c r="AV273" s="188">
        <v>2</v>
      </c>
      <c r="AW273" s="182">
        <v>83372.960000000006</v>
      </c>
      <c r="AX273" s="182"/>
      <c r="AY273" s="187">
        <f t="shared" si="999"/>
        <v>0</v>
      </c>
      <c r="AZ273" s="182"/>
      <c r="BA273" s="182">
        <f t="shared" si="1000"/>
        <v>0</v>
      </c>
      <c r="BB273" s="182">
        <v>0</v>
      </c>
      <c r="BC273" s="182">
        <f t="shared" si="1001"/>
        <v>0</v>
      </c>
      <c r="BD273" s="182"/>
      <c r="BE273" s="182">
        <f t="shared" si="1002"/>
        <v>0</v>
      </c>
      <c r="BF273" s="182"/>
      <c r="BG273" s="182">
        <f t="shared" si="1003"/>
        <v>0</v>
      </c>
      <c r="BH273" s="182"/>
      <c r="BI273" s="183">
        <f t="shared" si="1004"/>
        <v>0</v>
      </c>
      <c r="BJ273" s="182"/>
      <c r="BK273" s="183">
        <f t="shared" si="1005"/>
        <v>0</v>
      </c>
      <c r="BL273" s="182">
        <v>1</v>
      </c>
      <c r="BM273" s="182">
        <f t="shared" si="1006"/>
        <v>46181.934066267997</v>
      </c>
      <c r="BN273" s="182">
        <v>1</v>
      </c>
      <c r="BO273" s="182">
        <f t="shared" si="1007"/>
        <v>43671.547920000005</v>
      </c>
      <c r="BP273" s="182"/>
      <c r="BQ273" s="182">
        <f t="shared" si="1008"/>
        <v>0</v>
      </c>
      <c r="BR273" s="182"/>
      <c r="BS273" s="183">
        <f t="shared" si="1009"/>
        <v>0</v>
      </c>
      <c r="BT273" s="182"/>
      <c r="BU273" s="182">
        <f t="shared" si="1010"/>
        <v>0</v>
      </c>
      <c r="BV273" s="182"/>
      <c r="BW273" s="182">
        <f t="shared" si="1011"/>
        <v>0</v>
      </c>
      <c r="BX273" s="182">
        <v>7</v>
      </c>
      <c r="BY273" s="183">
        <f t="shared" si="1012"/>
        <v>374811.45703747199</v>
      </c>
      <c r="BZ273" s="182"/>
      <c r="CA273" s="187">
        <f t="shared" si="1013"/>
        <v>0</v>
      </c>
      <c r="CB273" s="182"/>
      <c r="CC273" s="182">
        <f t="shared" si="1033"/>
        <v>0</v>
      </c>
      <c r="CD273" s="182"/>
      <c r="CE273" s="182">
        <f t="shared" si="1015"/>
        <v>0</v>
      </c>
      <c r="CF273" s="182"/>
      <c r="CG273" s="182">
        <f t="shared" si="1016"/>
        <v>0</v>
      </c>
      <c r="CH273" s="182"/>
      <c r="CI273" s="182">
        <f t="shared" si="1017"/>
        <v>0</v>
      </c>
      <c r="CJ273" s="182"/>
      <c r="CK273" s="182"/>
      <c r="CL273" s="182"/>
      <c r="CM273" s="183">
        <f t="shared" si="1018"/>
        <v>0</v>
      </c>
      <c r="CN273" s="182"/>
      <c r="CO273" s="183">
        <f t="shared" si="1019"/>
        <v>0</v>
      </c>
      <c r="CP273" s="182"/>
      <c r="CQ273" s="182">
        <f t="shared" si="1020"/>
        <v>0</v>
      </c>
      <c r="CR273" s="182"/>
      <c r="CS273" s="182">
        <f t="shared" si="1021"/>
        <v>0</v>
      </c>
      <c r="CT273" s="182"/>
      <c r="CU273" s="182">
        <f t="shared" si="1022"/>
        <v>0</v>
      </c>
      <c r="CV273" s="182"/>
      <c r="CW273" s="182">
        <v>0</v>
      </c>
      <c r="CX273" s="182"/>
      <c r="CY273" s="182">
        <f t="shared" si="1034"/>
        <v>0</v>
      </c>
      <c r="CZ273" s="182"/>
      <c r="DA273" s="182">
        <v>0</v>
      </c>
      <c r="DB273" s="188"/>
      <c r="DC273" s="182">
        <f t="shared" si="1024"/>
        <v>0</v>
      </c>
      <c r="DD273" s="182"/>
      <c r="DE273" s="187">
        <f t="shared" si="1025"/>
        <v>0</v>
      </c>
      <c r="DF273" s="182"/>
      <c r="DG273" s="182">
        <f t="shared" si="1026"/>
        <v>0</v>
      </c>
      <c r="DH273" s="189"/>
      <c r="DI273" s="182">
        <f t="shared" si="1027"/>
        <v>0</v>
      </c>
      <c r="DJ273" s="182"/>
      <c r="DK273" s="182">
        <f t="shared" si="1028"/>
        <v>0</v>
      </c>
      <c r="DL273" s="182"/>
      <c r="DM273" s="182">
        <f t="shared" si="1029"/>
        <v>0</v>
      </c>
      <c r="DN273" s="182"/>
      <c r="DO273" s="190">
        <f t="shared" si="1030"/>
        <v>0</v>
      </c>
      <c r="DP273" s="187"/>
      <c r="DQ273" s="187"/>
      <c r="DR273" s="183">
        <f t="shared" si="1031"/>
        <v>45</v>
      </c>
      <c r="DS273" s="183">
        <f t="shared" si="1031"/>
        <v>1825099.2792153067</v>
      </c>
      <c r="DT273" s="182">
        <v>46</v>
      </c>
      <c r="DU273" s="182">
        <v>1876277.4761033335</v>
      </c>
      <c r="DV273" s="167">
        <f t="shared" ref="DV273:DW336" si="1035">DR273-DT273</f>
        <v>-1</v>
      </c>
      <c r="DW273" s="167">
        <f t="shared" si="1035"/>
        <v>-51178.196888026781</v>
      </c>
    </row>
    <row r="274" spans="1:127" ht="25.5" customHeight="1" x14ac:dyDescent="0.25">
      <c r="A274" s="154"/>
      <c r="B274" s="176">
        <v>236</v>
      </c>
      <c r="C274" s="177" t="s">
        <v>629</v>
      </c>
      <c r="D274" s="210" t="s">
        <v>630</v>
      </c>
      <c r="E274" s="158">
        <v>25969</v>
      </c>
      <c r="F274" s="179">
        <v>1.28</v>
      </c>
      <c r="G274" s="168">
        <v>1</v>
      </c>
      <c r="H274" s="168"/>
      <c r="I274" s="168"/>
      <c r="J274" s="168"/>
      <c r="K274" s="106"/>
      <c r="L274" s="180">
        <v>1.4</v>
      </c>
      <c r="M274" s="180">
        <v>1.68</v>
      </c>
      <c r="N274" s="180">
        <v>2.23</v>
      </c>
      <c r="O274" s="181">
        <v>2.57</v>
      </c>
      <c r="P274" s="182">
        <v>231</v>
      </c>
      <c r="Q274" s="182">
        <f t="shared" si="988"/>
        <v>11824911.436800001</v>
      </c>
      <c r="R274" s="182">
        <v>3</v>
      </c>
      <c r="S274" s="182">
        <f t="shared" si="989"/>
        <v>153570.27840000004</v>
      </c>
      <c r="T274" s="182">
        <f>215+14</f>
        <v>229</v>
      </c>
      <c r="U274" s="182">
        <f t="shared" si="990"/>
        <v>13454268.8224</v>
      </c>
      <c r="V274" s="182"/>
      <c r="W274" s="183">
        <f t="shared" si="991"/>
        <v>0</v>
      </c>
      <c r="X274" s="183"/>
      <c r="Y274" s="183">
        <v>0</v>
      </c>
      <c r="Z274" s="183"/>
      <c r="AA274" s="183">
        <v>0</v>
      </c>
      <c r="AB274" s="182">
        <f t="shared" si="992"/>
        <v>0</v>
      </c>
      <c r="AC274" s="182">
        <f t="shared" si="992"/>
        <v>0</v>
      </c>
      <c r="AD274" s="182"/>
      <c r="AE274" s="182">
        <f t="shared" si="993"/>
        <v>0</v>
      </c>
      <c r="AF274" s="182"/>
      <c r="AG274" s="182"/>
      <c r="AH274" s="182">
        <v>200</v>
      </c>
      <c r="AI274" s="182">
        <f t="shared" si="994"/>
        <v>10238018.560000001</v>
      </c>
      <c r="AJ274" s="182"/>
      <c r="AK274" s="182"/>
      <c r="AL274" s="182"/>
      <c r="AM274" s="182"/>
      <c r="AN274" s="184"/>
      <c r="AO274" s="182">
        <f t="shared" si="1032"/>
        <v>0</v>
      </c>
      <c r="AP274" s="182">
        <v>450</v>
      </c>
      <c r="AQ274" s="183">
        <f t="shared" si="995"/>
        <v>23035541.759999998</v>
      </c>
      <c r="AR274" s="182">
        <v>512</v>
      </c>
      <c r="AS274" s="182">
        <f t="shared" si="996"/>
        <v>28293763.272977069</v>
      </c>
      <c r="AT274" s="182">
        <v>100</v>
      </c>
      <c r="AU274" s="182">
        <f t="shared" si="997"/>
        <v>6435429.5288371202</v>
      </c>
      <c r="AV274" s="186"/>
      <c r="AW274" s="182">
        <f t="shared" si="998"/>
        <v>0</v>
      </c>
      <c r="AX274" s="182">
        <v>8</v>
      </c>
      <c r="AY274" s="187">
        <f t="shared" si="999"/>
        <v>491424.89088000002</v>
      </c>
      <c r="AZ274" s="182"/>
      <c r="BA274" s="182">
        <f t="shared" si="1000"/>
        <v>0</v>
      </c>
      <c r="BB274" s="182"/>
      <c r="BC274" s="182">
        <f t="shared" si="1001"/>
        <v>0</v>
      </c>
      <c r="BD274" s="182"/>
      <c r="BE274" s="182">
        <f t="shared" si="1002"/>
        <v>0</v>
      </c>
      <c r="BF274" s="182"/>
      <c r="BG274" s="182">
        <f t="shared" si="1003"/>
        <v>0</v>
      </c>
      <c r="BH274" s="182"/>
      <c r="BI274" s="183">
        <f t="shared" si="1004"/>
        <v>0</v>
      </c>
      <c r="BJ274" s="182"/>
      <c r="BK274" s="183">
        <f t="shared" si="1005"/>
        <v>0</v>
      </c>
      <c r="BL274" s="182">
        <v>80</v>
      </c>
      <c r="BM274" s="182">
        <f t="shared" si="1006"/>
        <v>5196736.3169075204</v>
      </c>
      <c r="BN274" s="182">
        <v>441</v>
      </c>
      <c r="BO274" s="182">
        <f t="shared" si="1007"/>
        <v>27089797.109760005</v>
      </c>
      <c r="BP274" s="182">
        <v>248</v>
      </c>
      <c r="BQ274" s="182">
        <f t="shared" ref="BQ274" si="1036">(BP274/12*11*$E274*$F274*$G274*$M274*$BQ$12)+(BP274/12*$E274*$F274*$G274*$M274*$BQ$14*$BQ$15)</f>
        <v>14894438.049175553</v>
      </c>
      <c r="BR274" s="182"/>
      <c r="BS274" s="183">
        <f t="shared" si="1009"/>
        <v>0</v>
      </c>
      <c r="BT274" s="182">
        <v>65</v>
      </c>
      <c r="BU274" s="182">
        <f t="shared" si="1010"/>
        <v>4043649.8794065914</v>
      </c>
      <c r="BV274" s="182">
        <v>14</v>
      </c>
      <c r="BW274" s="182">
        <f t="shared" si="1011"/>
        <v>703631.09375999996</v>
      </c>
      <c r="BX274" s="182">
        <v>83</v>
      </c>
      <c r="BY274" s="183">
        <f t="shared" si="1012"/>
        <v>6251172.5581885437</v>
      </c>
      <c r="BZ274" s="182">
        <v>111</v>
      </c>
      <c r="CA274" s="187">
        <f t="shared" ref="CA274:CA276" si="1037">(BZ274*$E274*$F274*$G274*$M274*$CA$12)/12*11+(BZ274*$E274*$F274*$G274*$M274*$CA$12*$CA$15)/12</f>
        <v>8101177.0206796788</v>
      </c>
      <c r="CB274" s="182">
        <v>620</v>
      </c>
      <c r="CC274" s="182">
        <f t="shared" si="1033"/>
        <v>34280252.275285333</v>
      </c>
      <c r="CD274" s="182">
        <v>320</v>
      </c>
      <c r="CE274" s="182">
        <f t="shared" si="1015"/>
        <v>14891663.359999999</v>
      </c>
      <c r="CF274" s="182"/>
      <c r="CG274" s="182">
        <f t="shared" si="1016"/>
        <v>0</v>
      </c>
      <c r="CH274" s="182">
        <v>235</v>
      </c>
      <c r="CI274" s="182">
        <f t="shared" ref="CI274:CI276" si="1038">(CH274*$E274*$F274*$G274*$M274*$CI$12)/12*11+(CH274*$E274*$F274*$G274*$M274*$CI$12*$CI$15)/12</f>
        <v>14625040.692380158</v>
      </c>
      <c r="CJ274" s="182"/>
      <c r="CK274" s="182"/>
      <c r="CL274" s="182">
        <v>3</v>
      </c>
      <c r="CM274" s="183">
        <f t="shared" si="1018"/>
        <v>111687.47520000002</v>
      </c>
      <c r="CN274" s="182">
        <v>25</v>
      </c>
      <c r="CO274" s="183">
        <f t="shared" si="1019"/>
        <v>930728.95999999996</v>
      </c>
      <c r="CP274" s="182">
        <v>150</v>
      </c>
      <c r="CQ274" s="182">
        <f t="shared" ref="CQ274:CQ276" si="1039">(CP274*$E274*$F274*$G274*$L274*$CQ$12)/12*11+(CP274*$E274*$F274*$G274*$L274*$CQ$12*$CQ$15)/12</f>
        <v>7736591.4071039995</v>
      </c>
      <c r="CR274" s="182">
        <v>72</v>
      </c>
      <c r="CS274" s="182">
        <f t="shared" ref="CS274:CS276" si="1040">(CR274*$E274*$F274*$G274*$L274*$CS$12)/12*10+(CR274*$E274*$F274*$G274*$L274*$CS$13)/12+(CR274*$E274*$F274*$G274*$L274*$CS$13*$CS$15)/12</f>
        <v>4016957.3174169604</v>
      </c>
      <c r="CT274" s="182">
        <v>156</v>
      </c>
      <c r="CU274" s="182">
        <f t="shared" ref="CU274:CU276" si="1041">(CT274*$E274*$F274*$G274*$L274*$CU$12)/12*11+(CT274*$E274*$F274*$G274*$L274*$CU$12*$CU$15)/12</f>
        <v>7621145.6483635195</v>
      </c>
      <c r="CV274" s="182">
        <v>309</v>
      </c>
      <c r="CW274" s="182">
        <v>17532752.720000032</v>
      </c>
      <c r="CX274" s="182">
        <v>85</v>
      </c>
      <c r="CY274" s="182">
        <f t="shared" ref="CY274:CY276" si="1042">(CX274/12*11*$E274*$F274*$G274*$M274*$CY$12)+(CX274/12*$E274*$F274*$G274*$M274*$CY$15*$CY$12)</f>
        <v>5122610.2703462392</v>
      </c>
      <c r="CZ274" s="182">
        <v>60</v>
      </c>
      <c r="DA274" s="182">
        <v>3354550.9200000046</v>
      </c>
      <c r="DB274" s="188">
        <v>195</v>
      </c>
      <c r="DC274" s="182">
        <f t="shared" si="1024"/>
        <v>9800575.9488000013</v>
      </c>
      <c r="DD274" s="182"/>
      <c r="DE274" s="187">
        <f t="shared" si="1025"/>
        <v>0</v>
      </c>
      <c r="DF274" s="182"/>
      <c r="DG274" s="182">
        <f t="shared" si="1026"/>
        <v>0</v>
      </c>
      <c r="DH274" s="189">
        <f>ROUND(1*0.75,0)</f>
        <v>1</v>
      </c>
      <c r="DI274" s="182">
        <f>(DH274*$E274*$F274*$G274*$M274*$DI$12)</f>
        <v>55843.7376</v>
      </c>
      <c r="DJ274" s="182">
        <v>65</v>
      </c>
      <c r="DK274" s="182">
        <f t="shared" ref="DK274:DK276" si="1043">(DJ274/12*11*$E274*$F274*$G274*$M274*$DK$12)+(DJ274/12*1*$E274*$F274*$M274*$G274*$DK$12*$DK$15)</f>
        <v>3955409.6073856</v>
      </c>
      <c r="DL274" s="182">
        <f>ROUND(4*0.75,0)</f>
        <v>3</v>
      </c>
      <c r="DM274" s="182">
        <f t="shared" si="1029"/>
        <v>222377.7408</v>
      </c>
      <c r="DN274" s="182">
        <f>ROUND(45*0.75,0)</f>
        <v>34</v>
      </c>
      <c r="DO274" s="190">
        <f t="shared" si="1030"/>
        <v>2904539.1616000002</v>
      </c>
      <c r="DP274" s="187"/>
      <c r="DQ274" s="187"/>
      <c r="DR274" s="183">
        <f t="shared" si="1031"/>
        <v>5108</v>
      </c>
      <c r="DS274" s="183">
        <f t="shared" si="1031"/>
        <v>287370257.82045394</v>
      </c>
      <c r="DT274" s="182">
        <v>5107</v>
      </c>
      <c r="DU274" s="182">
        <v>273218916.16181338</v>
      </c>
      <c r="DV274" s="167">
        <f t="shared" si="1035"/>
        <v>1</v>
      </c>
      <c r="DW274" s="167">
        <f t="shared" si="1035"/>
        <v>14151341.658640563</v>
      </c>
    </row>
    <row r="275" spans="1:127" ht="21.75" customHeight="1" x14ac:dyDescent="0.25">
      <c r="A275" s="154"/>
      <c r="B275" s="176">
        <v>237</v>
      </c>
      <c r="C275" s="177" t="s">
        <v>631</v>
      </c>
      <c r="D275" s="210" t="s">
        <v>632</v>
      </c>
      <c r="E275" s="158">
        <v>25969</v>
      </c>
      <c r="F275" s="179">
        <v>1.1100000000000001</v>
      </c>
      <c r="G275" s="168">
        <v>1</v>
      </c>
      <c r="H275" s="169"/>
      <c r="I275" s="169"/>
      <c r="J275" s="169"/>
      <c r="K275" s="106"/>
      <c r="L275" s="180">
        <v>1.4</v>
      </c>
      <c r="M275" s="180">
        <v>1.68</v>
      </c>
      <c r="N275" s="180">
        <v>2.23</v>
      </c>
      <c r="O275" s="181">
        <v>2.57</v>
      </c>
      <c r="P275" s="182">
        <v>420</v>
      </c>
      <c r="Q275" s="182">
        <f t="shared" si="988"/>
        <v>18644391.612000003</v>
      </c>
      <c r="R275" s="182"/>
      <c r="S275" s="182">
        <f t="shared" si="989"/>
        <v>0</v>
      </c>
      <c r="T275" s="182"/>
      <c r="U275" s="182">
        <f t="shared" si="990"/>
        <v>0</v>
      </c>
      <c r="V275" s="182"/>
      <c r="W275" s="183">
        <f t="shared" si="991"/>
        <v>0</v>
      </c>
      <c r="X275" s="183"/>
      <c r="Y275" s="183">
        <v>0</v>
      </c>
      <c r="Z275" s="183"/>
      <c r="AA275" s="183">
        <v>0</v>
      </c>
      <c r="AB275" s="182">
        <f t="shared" si="992"/>
        <v>0</v>
      </c>
      <c r="AC275" s="182">
        <f t="shared" si="992"/>
        <v>0</v>
      </c>
      <c r="AD275" s="182"/>
      <c r="AE275" s="182">
        <f t="shared" si="993"/>
        <v>0</v>
      </c>
      <c r="AF275" s="182"/>
      <c r="AG275" s="182"/>
      <c r="AH275" s="182">
        <v>25</v>
      </c>
      <c r="AI275" s="182">
        <f t="shared" si="994"/>
        <v>1109785.2150000003</v>
      </c>
      <c r="AJ275" s="182"/>
      <c r="AK275" s="182"/>
      <c r="AL275" s="182"/>
      <c r="AM275" s="182"/>
      <c r="AN275" s="184"/>
      <c r="AO275" s="182">
        <f t="shared" si="1032"/>
        <v>0</v>
      </c>
      <c r="AP275" s="182">
        <v>100</v>
      </c>
      <c r="AQ275" s="183">
        <f t="shared" si="995"/>
        <v>4439140.8600000013</v>
      </c>
      <c r="AR275" s="182">
        <v>45</v>
      </c>
      <c r="AS275" s="182">
        <f t="shared" si="996"/>
        <v>2156484.1850055</v>
      </c>
      <c r="AT275" s="182">
        <v>15</v>
      </c>
      <c r="AU275" s="182">
        <f t="shared" si="997"/>
        <v>837108.60668076598</v>
      </c>
      <c r="AV275" s="188"/>
      <c r="AW275" s="182">
        <f t="shared" si="998"/>
        <v>0</v>
      </c>
      <c r="AX275" s="182">
        <v>12</v>
      </c>
      <c r="AY275" s="187">
        <f t="shared" si="999"/>
        <v>639236.28384000005</v>
      </c>
      <c r="AZ275" s="182"/>
      <c r="BA275" s="182">
        <f t="shared" si="1000"/>
        <v>0</v>
      </c>
      <c r="BB275" s="182"/>
      <c r="BC275" s="182">
        <f t="shared" si="1001"/>
        <v>0</v>
      </c>
      <c r="BD275" s="182"/>
      <c r="BE275" s="182">
        <f t="shared" si="1002"/>
        <v>0</v>
      </c>
      <c r="BF275" s="182"/>
      <c r="BG275" s="182">
        <f t="shared" si="1003"/>
        <v>0</v>
      </c>
      <c r="BH275" s="182"/>
      <c r="BI275" s="183">
        <f t="shared" si="1004"/>
        <v>0</v>
      </c>
      <c r="BJ275" s="182"/>
      <c r="BK275" s="183">
        <f t="shared" si="1005"/>
        <v>0</v>
      </c>
      <c r="BL275" s="182">
        <v>10</v>
      </c>
      <c r="BM275" s="182">
        <f t="shared" si="1006"/>
        <v>563318.09685228008</v>
      </c>
      <c r="BN275" s="182">
        <v>62</v>
      </c>
      <c r="BO275" s="182">
        <f t="shared" si="1007"/>
        <v>3302720.7998400005</v>
      </c>
      <c r="BP275" s="182"/>
      <c r="BQ275" s="182">
        <f t="shared" si="1008"/>
        <v>0</v>
      </c>
      <c r="BR275" s="182"/>
      <c r="BS275" s="183">
        <f t="shared" si="1009"/>
        <v>0</v>
      </c>
      <c r="BT275" s="182">
        <v>6</v>
      </c>
      <c r="BU275" s="182">
        <f t="shared" si="1010"/>
        <v>323686.39659672958</v>
      </c>
      <c r="BV275" s="182">
        <v>12</v>
      </c>
      <c r="BW275" s="182">
        <f t="shared" si="1011"/>
        <v>523011.50495999999</v>
      </c>
      <c r="BX275" s="182">
        <v>7</v>
      </c>
      <c r="BY275" s="183">
        <f t="shared" si="1012"/>
        <v>457187.60144131194</v>
      </c>
      <c r="BZ275" s="182">
        <v>12</v>
      </c>
      <c r="CA275" s="187">
        <f t="shared" si="1037"/>
        <v>759485.34568871988</v>
      </c>
      <c r="CB275" s="182"/>
      <c r="CC275" s="182">
        <f t="shared" si="1033"/>
        <v>0</v>
      </c>
      <c r="CD275" s="182"/>
      <c r="CE275" s="182">
        <f t="shared" si="1015"/>
        <v>0</v>
      </c>
      <c r="CF275" s="182"/>
      <c r="CG275" s="182">
        <f t="shared" si="1016"/>
        <v>0</v>
      </c>
      <c r="CH275" s="182">
        <v>15</v>
      </c>
      <c r="CI275" s="182">
        <f t="shared" si="1038"/>
        <v>809531.00906957989</v>
      </c>
      <c r="CJ275" s="182"/>
      <c r="CK275" s="182"/>
      <c r="CL275" s="182">
        <v>23</v>
      </c>
      <c r="CM275" s="183">
        <f t="shared" si="1018"/>
        <v>742547.19840000011</v>
      </c>
      <c r="CN275" s="182">
        <v>10</v>
      </c>
      <c r="CO275" s="183">
        <f t="shared" si="1019"/>
        <v>322846.60800000001</v>
      </c>
      <c r="CP275" s="182">
        <v>15</v>
      </c>
      <c r="CQ275" s="182">
        <f t="shared" si="1039"/>
        <v>670907.53608480003</v>
      </c>
      <c r="CR275" s="182">
        <v>26</v>
      </c>
      <c r="CS275" s="182">
        <f t="shared" si="1040"/>
        <v>1257914.3682796601</v>
      </c>
      <c r="CT275" s="182">
        <v>5</v>
      </c>
      <c r="CU275" s="182">
        <f t="shared" si="1041"/>
        <v>211825.71288270003</v>
      </c>
      <c r="CV275" s="182">
        <v>39</v>
      </c>
      <c r="CW275" s="182">
        <v>1888652.6099999999</v>
      </c>
      <c r="CX275" s="182"/>
      <c r="CY275" s="182">
        <f t="shared" si="1042"/>
        <v>0</v>
      </c>
      <c r="CZ275" s="182">
        <v>10</v>
      </c>
      <c r="DA275" s="182">
        <v>484269.89999999997</v>
      </c>
      <c r="DB275" s="188">
        <v>25</v>
      </c>
      <c r="DC275" s="182">
        <f t="shared" si="1024"/>
        <v>1089607.3020000004</v>
      </c>
      <c r="DD275" s="182"/>
      <c r="DE275" s="187">
        <f t="shared" si="1025"/>
        <v>0</v>
      </c>
      <c r="DF275" s="182"/>
      <c r="DG275" s="182">
        <f t="shared" si="1026"/>
        <v>0</v>
      </c>
      <c r="DH275" s="189">
        <f>ROUND(1*0.75,0)</f>
        <v>1</v>
      </c>
      <c r="DI275" s="182">
        <f>(DH275*$E275*$F275*$G275*$M275*$DI$12)</f>
        <v>48426.991200000004</v>
      </c>
      <c r="DJ275" s="182">
        <v>19</v>
      </c>
      <c r="DK275" s="182">
        <f t="shared" si="1043"/>
        <v>1002639.2862952199</v>
      </c>
      <c r="DL275" s="182">
        <f>ROUND(6*0.75,0)</f>
        <v>5</v>
      </c>
      <c r="DM275" s="182">
        <f t="shared" si="1029"/>
        <v>321405.3285</v>
      </c>
      <c r="DN275" s="182">
        <f>ROUND(5*0.75,0)</f>
        <v>4</v>
      </c>
      <c r="DO275" s="190">
        <f t="shared" si="1030"/>
        <v>296327.06520000001</v>
      </c>
      <c r="DP275" s="187"/>
      <c r="DQ275" s="187"/>
      <c r="DR275" s="183">
        <f t="shared" si="1031"/>
        <v>923</v>
      </c>
      <c r="DS275" s="183">
        <f t="shared" si="1031"/>
        <v>42902457.423817277</v>
      </c>
      <c r="DT275" s="182">
        <v>923</v>
      </c>
      <c r="DU275" s="182">
        <v>42169368.71899002</v>
      </c>
      <c r="DV275" s="167">
        <f t="shared" si="1035"/>
        <v>0</v>
      </c>
      <c r="DW275" s="167">
        <f t="shared" si="1035"/>
        <v>733088.7048272565</v>
      </c>
    </row>
    <row r="276" spans="1:127" ht="21.75" customHeight="1" x14ac:dyDescent="0.25">
      <c r="A276" s="154"/>
      <c r="B276" s="176">
        <v>238</v>
      </c>
      <c r="C276" s="177" t="s">
        <v>633</v>
      </c>
      <c r="D276" s="210" t="s">
        <v>634</v>
      </c>
      <c r="E276" s="158">
        <v>25969</v>
      </c>
      <c r="F276" s="179">
        <v>1.25</v>
      </c>
      <c r="G276" s="168">
        <v>1</v>
      </c>
      <c r="H276" s="169"/>
      <c r="I276" s="169"/>
      <c r="J276" s="169"/>
      <c r="K276" s="106"/>
      <c r="L276" s="180">
        <v>1.4</v>
      </c>
      <c r="M276" s="180">
        <v>1.68</v>
      </c>
      <c r="N276" s="180">
        <v>2.23</v>
      </c>
      <c r="O276" s="181">
        <v>2.57</v>
      </c>
      <c r="P276" s="182"/>
      <c r="Q276" s="182">
        <f t="shared" si="988"/>
        <v>0</v>
      </c>
      <c r="R276" s="182"/>
      <c r="S276" s="182">
        <f t="shared" si="989"/>
        <v>0</v>
      </c>
      <c r="T276" s="182">
        <v>13</v>
      </c>
      <c r="U276" s="182">
        <f t="shared" si="990"/>
        <v>745878.37187499984</v>
      </c>
      <c r="V276" s="182"/>
      <c r="W276" s="183">
        <f t="shared" si="991"/>
        <v>0</v>
      </c>
      <c r="X276" s="183"/>
      <c r="Y276" s="183">
        <v>0</v>
      </c>
      <c r="Z276" s="183"/>
      <c r="AA276" s="183">
        <v>0</v>
      </c>
      <c r="AB276" s="182">
        <f t="shared" si="992"/>
        <v>0</v>
      </c>
      <c r="AC276" s="182">
        <f t="shared" si="992"/>
        <v>0</v>
      </c>
      <c r="AD276" s="182"/>
      <c r="AE276" s="182">
        <f t="shared" si="993"/>
        <v>0</v>
      </c>
      <c r="AF276" s="182"/>
      <c r="AG276" s="182"/>
      <c r="AH276" s="182"/>
      <c r="AI276" s="182">
        <f t="shared" si="994"/>
        <v>0</v>
      </c>
      <c r="AJ276" s="182"/>
      <c r="AK276" s="182"/>
      <c r="AL276" s="182"/>
      <c r="AM276" s="182"/>
      <c r="AN276" s="184"/>
      <c r="AO276" s="182">
        <f t="shared" si="1032"/>
        <v>0</v>
      </c>
      <c r="AP276" s="182"/>
      <c r="AQ276" s="183">
        <f t="shared" si="995"/>
        <v>0</v>
      </c>
      <c r="AR276" s="182"/>
      <c r="AS276" s="182">
        <f t="shared" ref="AS276" si="1044">(AR276*$E276*$F276*$G276*$L276*$AS$12)/12*10+(AR276*$E276*$F276*$G276*$L276*$AS$13)/12*1+(AR276*$E276*$F276*$G276*$L276*$AS$14)/12*1</f>
        <v>0</v>
      </c>
      <c r="AT276" s="182"/>
      <c r="AU276" s="182">
        <f t="shared" ref="AU276" si="1045">(AT276*$E276*$F276*$G276*$M276*$AU$12)</f>
        <v>0</v>
      </c>
      <c r="AV276" s="188"/>
      <c r="AW276" s="182">
        <f t="shared" si="998"/>
        <v>0</v>
      </c>
      <c r="AX276" s="182">
        <v>3</v>
      </c>
      <c r="AY276" s="187">
        <f t="shared" si="999"/>
        <v>179965.16999999998</v>
      </c>
      <c r="AZ276" s="182"/>
      <c r="BA276" s="182">
        <f t="shared" si="1000"/>
        <v>0</v>
      </c>
      <c r="BB276" s="182"/>
      <c r="BC276" s="182">
        <f t="shared" si="1001"/>
        <v>0</v>
      </c>
      <c r="BD276" s="182"/>
      <c r="BE276" s="182">
        <f t="shared" si="1002"/>
        <v>0</v>
      </c>
      <c r="BF276" s="182"/>
      <c r="BG276" s="182">
        <f t="shared" si="1003"/>
        <v>0</v>
      </c>
      <c r="BH276" s="182"/>
      <c r="BI276" s="183">
        <f t="shared" si="1004"/>
        <v>0</v>
      </c>
      <c r="BJ276" s="182"/>
      <c r="BK276" s="183">
        <f t="shared" si="1005"/>
        <v>0</v>
      </c>
      <c r="BL276" s="182">
        <v>10</v>
      </c>
      <c r="BM276" s="182">
        <f t="shared" si="1006"/>
        <v>634367.22618500004</v>
      </c>
      <c r="BN276" s="182">
        <v>90</v>
      </c>
      <c r="BO276" s="182">
        <f t="shared" si="1007"/>
        <v>5398955.1000000006</v>
      </c>
      <c r="BP276" s="182">
        <v>45</v>
      </c>
      <c r="BQ276" s="182">
        <f t="shared" ref="BQ276" si="1046">(BP276/12*11*$E276*$F276*$G276*$M276*$BQ$12)+(BP276/12*$E276*$F276*$G276*$M276*$BQ$14*$BQ$15)</f>
        <v>2639277.1555762501</v>
      </c>
      <c r="BR276" s="182"/>
      <c r="BS276" s="183">
        <f t="shared" si="1009"/>
        <v>0</v>
      </c>
      <c r="BT276" s="182">
        <v>4</v>
      </c>
      <c r="BU276" s="182">
        <f t="shared" si="1010"/>
        <v>243007.8052528</v>
      </c>
      <c r="BV276" s="182"/>
      <c r="BW276" s="182">
        <f t="shared" si="1011"/>
        <v>0</v>
      </c>
      <c r="BX276" s="182">
        <v>1</v>
      </c>
      <c r="BY276" s="183">
        <f t="shared" si="1012"/>
        <v>73550.128931999992</v>
      </c>
      <c r="BZ276" s="182">
        <v>16</v>
      </c>
      <c r="CA276" s="187">
        <f t="shared" si="1037"/>
        <v>1140368.38692</v>
      </c>
      <c r="CB276" s="182">
        <v>270</v>
      </c>
      <c r="CC276" s="182">
        <f t="shared" si="1033"/>
        <v>14578610.311125001</v>
      </c>
      <c r="CD276" s="182">
        <v>60</v>
      </c>
      <c r="CE276" s="182">
        <f t="shared" si="1015"/>
        <v>2726745</v>
      </c>
      <c r="CF276" s="182"/>
      <c r="CG276" s="182">
        <f t="shared" si="1016"/>
        <v>0</v>
      </c>
      <c r="CH276" s="182">
        <v>4</v>
      </c>
      <c r="CI276" s="182">
        <f t="shared" si="1038"/>
        <v>243102.405126</v>
      </c>
      <c r="CJ276" s="182"/>
      <c r="CK276" s="182"/>
      <c r="CL276" s="182"/>
      <c r="CM276" s="183">
        <f t="shared" si="1018"/>
        <v>0</v>
      </c>
      <c r="CN276" s="182"/>
      <c r="CO276" s="183">
        <f t="shared" si="1019"/>
        <v>0</v>
      </c>
      <c r="CP276" s="182">
        <v>8</v>
      </c>
      <c r="CQ276" s="182">
        <f t="shared" si="1039"/>
        <v>402947.46912000002</v>
      </c>
      <c r="CR276" s="182">
        <v>10</v>
      </c>
      <c r="CS276" s="182">
        <f t="shared" si="1040"/>
        <v>544834.70559583337</v>
      </c>
      <c r="CT276" s="182">
        <v>3</v>
      </c>
      <c r="CU276" s="182">
        <f t="shared" si="1041"/>
        <v>143125.48167750001</v>
      </c>
      <c r="CV276" s="182">
        <v>14</v>
      </c>
      <c r="CW276" s="182">
        <v>798390.92000000016</v>
      </c>
      <c r="CX276" s="182">
        <v>15</v>
      </c>
      <c r="CY276" s="182">
        <f t="shared" si="1042"/>
        <v>882802.78096500004</v>
      </c>
      <c r="CZ276" s="182"/>
      <c r="DA276" s="182">
        <v>0</v>
      </c>
      <c r="DB276" s="188"/>
      <c r="DC276" s="182">
        <f t="shared" si="1024"/>
        <v>0</v>
      </c>
      <c r="DD276" s="182"/>
      <c r="DE276" s="187">
        <f t="shared" si="1025"/>
        <v>0</v>
      </c>
      <c r="DF276" s="182"/>
      <c r="DG276" s="182">
        <f t="shared" si="1026"/>
        <v>0</v>
      </c>
      <c r="DH276" s="189"/>
      <c r="DI276" s="182">
        <f t="shared" si="1027"/>
        <v>0</v>
      </c>
      <c r="DJ276" s="182">
        <v>2</v>
      </c>
      <c r="DK276" s="182">
        <f t="shared" si="1043"/>
        <v>118852.45214499997</v>
      </c>
      <c r="DL276" s="182"/>
      <c r="DM276" s="182">
        <f t="shared" si="1029"/>
        <v>0</v>
      </c>
      <c r="DN276" s="182">
        <f>ROUND(5*0.75,0)</f>
        <v>4</v>
      </c>
      <c r="DO276" s="190">
        <f t="shared" si="1030"/>
        <v>333701.64999999997</v>
      </c>
      <c r="DP276" s="187"/>
      <c r="DQ276" s="187"/>
      <c r="DR276" s="183">
        <f t="shared" si="1031"/>
        <v>572</v>
      </c>
      <c r="DS276" s="183">
        <f t="shared" si="1031"/>
        <v>31828482.520495381</v>
      </c>
      <c r="DT276" s="182">
        <v>572</v>
      </c>
      <c r="DU276" s="182">
        <v>28898688.390833333</v>
      </c>
      <c r="DV276" s="167">
        <f t="shared" si="1035"/>
        <v>0</v>
      </c>
      <c r="DW276" s="167">
        <f t="shared" si="1035"/>
        <v>2929794.1296620481</v>
      </c>
    </row>
    <row r="277" spans="1:127" ht="15.75" customHeight="1" x14ac:dyDescent="0.25">
      <c r="A277" s="170">
        <v>24</v>
      </c>
      <c r="B277" s="197"/>
      <c r="C277" s="198"/>
      <c r="D277" s="211" t="s">
        <v>635</v>
      </c>
      <c r="E277" s="158">
        <v>25969</v>
      </c>
      <c r="F277" s="199">
        <v>1.44</v>
      </c>
      <c r="G277" s="174"/>
      <c r="H277" s="180"/>
      <c r="I277" s="180"/>
      <c r="J277" s="180"/>
      <c r="K277" s="173"/>
      <c r="L277" s="174">
        <v>1.4</v>
      </c>
      <c r="M277" s="174">
        <v>1.68</v>
      </c>
      <c r="N277" s="174">
        <v>2.23</v>
      </c>
      <c r="O277" s="175">
        <v>2.57</v>
      </c>
      <c r="P277" s="166">
        <f t="shared" ref="P277:AD277" si="1047">SUM(P278:P281)</f>
        <v>486</v>
      </c>
      <c r="Q277" s="166">
        <f t="shared" si="1047"/>
        <v>32342540.507199999</v>
      </c>
      <c r="R277" s="166">
        <f t="shared" ref="R277" si="1048">SUM(R278:R281)</f>
        <v>12</v>
      </c>
      <c r="S277" s="166">
        <f t="shared" si="1047"/>
        <v>737457.27439999999</v>
      </c>
      <c r="T277" s="166">
        <f t="shared" si="1047"/>
        <v>76</v>
      </c>
      <c r="U277" s="166">
        <f t="shared" si="1047"/>
        <v>5955551.9231249997</v>
      </c>
      <c r="V277" s="166">
        <f t="shared" si="1047"/>
        <v>0</v>
      </c>
      <c r="W277" s="166">
        <f t="shared" si="1047"/>
        <v>0</v>
      </c>
      <c r="X277" s="166">
        <v>0</v>
      </c>
      <c r="Y277" s="166">
        <v>0</v>
      </c>
      <c r="Z277" s="166">
        <v>0</v>
      </c>
      <c r="AA277" s="166">
        <v>0</v>
      </c>
      <c r="AB277" s="166">
        <f t="shared" si="1047"/>
        <v>0</v>
      </c>
      <c r="AC277" s="166">
        <f t="shared" si="1047"/>
        <v>0</v>
      </c>
      <c r="AD277" s="166">
        <f t="shared" si="1047"/>
        <v>0</v>
      </c>
      <c r="AE277" s="166">
        <f t="shared" ref="AE277:CP277" si="1049">SUM(AE278:AE281)</f>
        <v>0</v>
      </c>
      <c r="AF277" s="166">
        <f t="shared" si="1049"/>
        <v>0</v>
      </c>
      <c r="AG277" s="166">
        <f t="shared" si="1049"/>
        <v>0</v>
      </c>
      <c r="AH277" s="166">
        <f t="shared" si="1049"/>
        <v>18</v>
      </c>
      <c r="AI277" s="166">
        <f t="shared" si="1049"/>
        <v>1055395.7413999999</v>
      </c>
      <c r="AJ277" s="166">
        <f>SUM(AJ278:AJ281)</f>
        <v>0</v>
      </c>
      <c r="AK277" s="166">
        <f>SUM(AK278:AK281)</f>
        <v>0</v>
      </c>
      <c r="AL277" s="166">
        <f t="shared" si="1049"/>
        <v>0</v>
      </c>
      <c r="AM277" s="166">
        <f t="shared" si="1049"/>
        <v>0</v>
      </c>
      <c r="AN277" s="166">
        <f t="shared" si="1049"/>
        <v>0</v>
      </c>
      <c r="AO277" s="166">
        <f t="shared" si="1049"/>
        <v>0</v>
      </c>
      <c r="AP277" s="166">
        <f t="shared" si="1049"/>
        <v>18</v>
      </c>
      <c r="AQ277" s="166">
        <f t="shared" si="1049"/>
        <v>1151377.1654000001</v>
      </c>
      <c r="AR277" s="166">
        <f t="shared" si="1049"/>
        <v>4</v>
      </c>
      <c r="AS277" s="166">
        <f t="shared" si="1049"/>
        <v>150241.5408172</v>
      </c>
      <c r="AT277" s="166">
        <f t="shared" si="1049"/>
        <v>0</v>
      </c>
      <c r="AU277" s="166">
        <f t="shared" si="1049"/>
        <v>0</v>
      </c>
      <c r="AV277" s="166">
        <f t="shared" si="1049"/>
        <v>0</v>
      </c>
      <c r="AW277" s="166">
        <f t="shared" si="1049"/>
        <v>0</v>
      </c>
      <c r="AX277" s="166">
        <f t="shared" si="1049"/>
        <v>4</v>
      </c>
      <c r="AY277" s="166">
        <f t="shared" si="1049"/>
        <v>287464.36488000001</v>
      </c>
      <c r="AZ277" s="166">
        <f t="shared" si="1049"/>
        <v>0</v>
      </c>
      <c r="BA277" s="166">
        <f t="shared" si="1049"/>
        <v>0</v>
      </c>
      <c r="BB277" s="166">
        <f t="shared" si="1049"/>
        <v>0</v>
      </c>
      <c r="BC277" s="166">
        <f t="shared" si="1049"/>
        <v>0</v>
      </c>
      <c r="BD277" s="166">
        <f t="shared" si="1049"/>
        <v>0</v>
      </c>
      <c r="BE277" s="166">
        <f t="shared" si="1049"/>
        <v>0</v>
      </c>
      <c r="BF277" s="166">
        <f t="shared" si="1049"/>
        <v>0</v>
      </c>
      <c r="BG277" s="166">
        <f t="shared" si="1049"/>
        <v>0</v>
      </c>
      <c r="BH277" s="166">
        <f t="shared" si="1049"/>
        <v>0</v>
      </c>
      <c r="BI277" s="166">
        <f t="shared" si="1049"/>
        <v>0</v>
      </c>
      <c r="BJ277" s="166">
        <f t="shared" si="1049"/>
        <v>0</v>
      </c>
      <c r="BK277" s="166">
        <f t="shared" si="1049"/>
        <v>0</v>
      </c>
      <c r="BL277" s="166">
        <f t="shared" si="1049"/>
        <v>7</v>
      </c>
      <c r="BM277" s="166">
        <f t="shared" si="1049"/>
        <v>593260.22992821189</v>
      </c>
      <c r="BN277" s="166">
        <f t="shared" si="1049"/>
        <v>19</v>
      </c>
      <c r="BO277" s="166">
        <f t="shared" si="1049"/>
        <v>1423404.51792</v>
      </c>
      <c r="BP277" s="166">
        <f t="shared" si="1049"/>
        <v>32</v>
      </c>
      <c r="BQ277" s="166">
        <f t="shared" si="1049"/>
        <v>2507430.5990043515</v>
      </c>
      <c r="BR277" s="166">
        <f t="shared" si="1049"/>
        <v>0</v>
      </c>
      <c r="BS277" s="166">
        <f t="shared" si="1049"/>
        <v>0</v>
      </c>
      <c r="BT277" s="166">
        <f t="shared" si="1049"/>
        <v>11</v>
      </c>
      <c r="BU277" s="166">
        <f t="shared" si="1049"/>
        <v>892810.67649878701</v>
      </c>
      <c r="BV277" s="166">
        <f t="shared" si="1049"/>
        <v>11</v>
      </c>
      <c r="BW277" s="166">
        <f t="shared" si="1049"/>
        <v>713447.37575999997</v>
      </c>
      <c r="BX277" s="166">
        <f t="shared" si="1049"/>
        <v>10</v>
      </c>
      <c r="BY277" s="166">
        <f t="shared" si="1049"/>
        <v>847885.88632809592</v>
      </c>
      <c r="BZ277" s="166">
        <f t="shared" si="1049"/>
        <v>9</v>
      </c>
      <c r="CA277" s="166">
        <f t="shared" si="1049"/>
        <v>856986.84277037997</v>
      </c>
      <c r="CB277" s="166">
        <f t="shared" si="1049"/>
        <v>0</v>
      </c>
      <c r="CC277" s="166">
        <f t="shared" si="1049"/>
        <v>0</v>
      </c>
      <c r="CD277" s="166">
        <f t="shared" si="1049"/>
        <v>25</v>
      </c>
      <c r="CE277" s="166">
        <f t="shared" si="1049"/>
        <v>1517888.0499999998</v>
      </c>
      <c r="CF277" s="166">
        <f t="shared" si="1049"/>
        <v>0</v>
      </c>
      <c r="CG277" s="166">
        <f t="shared" si="1049"/>
        <v>0</v>
      </c>
      <c r="CH277" s="166">
        <f t="shared" si="1049"/>
        <v>9</v>
      </c>
      <c r="CI277" s="166">
        <f t="shared" si="1049"/>
        <v>652973.0601684358</v>
      </c>
      <c r="CJ277" s="166">
        <f t="shared" si="1049"/>
        <v>0</v>
      </c>
      <c r="CK277" s="166">
        <f t="shared" si="1049"/>
        <v>0</v>
      </c>
      <c r="CL277" s="166">
        <f t="shared" si="1049"/>
        <v>5</v>
      </c>
      <c r="CM277" s="166">
        <f t="shared" si="1049"/>
        <v>242862.08799999999</v>
      </c>
      <c r="CN277" s="166">
        <f t="shared" si="1049"/>
        <v>2</v>
      </c>
      <c r="CO277" s="166">
        <f t="shared" si="1049"/>
        <v>97144.835199999987</v>
      </c>
      <c r="CP277" s="166">
        <f t="shared" si="1049"/>
        <v>5</v>
      </c>
      <c r="CQ277" s="166">
        <f t="shared" ref="CQ277:DQ277" si="1050">SUM(CQ278:CQ281)</f>
        <v>336461.13671519997</v>
      </c>
      <c r="CR277" s="166">
        <f t="shared" si="1050"/>
        <v>29</v>
      </c>
      <c r="CS277" s="166">
        <f t="shared" si="1050"/>
        <v>2110907.5833604964</v>
      </c>
      <c r="CT277" s="166">
        <f t="shared" si="1050"/>
        <v>20</v>
      </c>
      <c r="CU277" s="166">
        <f t="shared" si="1050"/>
        <v>1274770.9568075999</v>
      </c>
      <c r="CV277" s="166">
        <f t="shared" si="1050"/>
        <v>17</v>
      </c>
      <c r="CW277" s="166">
        <v>994280.33000000007</v>
      </c>
      <c r="CX277" s="166">
        <f t="shared" si="1050"/>
        <v>0</v>
      </c>
      <c r="CY277" s="166">
        <f t="shared" si="1050"/>
        <v>0</v>
      </c>
      <c r="CZ277" s="166">
        <f t="shared" si="1050"/>
        <v>1</v>
      </c>
      <c r="DA277" s="166">
        <v>72858.63</v>
      </c>
      <c r="DB277" s="166">
        <f t="shared" si="1050"/>
        <v>233</v>
      </c>
      <c r="DC277" s="166">
        <f t="shared" si="1050"/>
        <v>15464178.011519998</v>
      </c>
      <c r="DD277" s="166">
        <f t="shared" si="1050"/>
        <v>0</v>
      </c>
      <c r="DE277" s="166">
        <f t="shared" si="1050"/>
        <v>0</v>
      </c>
      <c r="DF277" s="166">
        <f t="shared" si="1050"/>
        <v>0</v>
      </c>
      <c r="DG277" s="166">
        <f t="shared" si="1050"/>
        <v>0</v>
      </c>
      <c r="DH277" s="166">
        <f t="shared" si="1050"/>
        <v>1</v>
      </c>
      <c r="DI277" s="166">
        <f t="shared" si="1050"/>
        <v>72858.626399999994</v>
      </c>
      <c r="DJ277" s="166">
        <f t="shared" si="1050"/>
        <v>15</v>
      </c>
      <c r="DK277" s="166">
        <f t="shared" si="1050"/>
        <v>1190901.5704929</v>
      </c>
      <c r="DL277" s="166">
        <f t="shared" si="1050"/>
        <v>4</v>
      </c>
      <c r="DM277" s="166">
        <f t="shared" si="1050"/>
        <v>386844.61159999995</v>
      </c>
      <c r="DN277" s="166">
        <f t="shared" si="1050"/>
        <v>2</v>
      </c>
      <c r="DO277" s="166">
        <f t="shared" si="1050"/>
        <v>169520.43819999998</v>
      </c>
      <c r="DP277" s="166">
        <f t="shared" si="1050"/>
        <v>0</v>
      </c>
      <c r="DQ277" s="166">
        <f t="shared" si="1050"/>
        <v>0</v>
      </c>
      <c r="DR277" s="166">
        <f>SUM(DR278:DR281)</f>
        <v>1085</v>
      </c>
      <c r="DS277" s="166">
        <f t="shared" ref="DS277" si="1051">SUM(DS278:DS281)</f>
        <v>74099704.573896632</v>
      </c>
      <c r="DT277" s="166">
        <v>1086</v>
      </c>
      <c r="DU277" s="166">
        <v>73137628.197086647</v>
      </c>
      <c r="DV277" s="167">
        <f t="shared" si="1035"/>
        <v>-1</v>
      </c>
      <c r="DW277" s="167">
        <f t="shared" si="1035"/>
        <v>962076.37680998445</v>
      </c>
    </row>
    <row r="278" spans="1:127" ht="18.75" x14ac:dyDescent="0.25">
      <c r="A278" s="154"/>
      <c r="B278" s="176">
        <v>239</v>
      </c>
      <c r="C278" s="177" t="s">
        <v>636</v>
      </c>
      <c r="D278" s="210" t="s">
        <v>637</v>
      </c>
      <c r="E278" s="158">
        <v>25969</v>
      </c>
      <c r="F278" s="179">
        <v>1.78</v>
      </c>
      <c r="G278" s="168">
        <v>1</v>
      </c>
      <c r="H278" s="242"/>
      <c r="I278" s="242"/>
      <c r="J278" s="242"/>
      <c r="K278" s="106"/>
      <c r="L278" s="180">
        <v>1.4</v>
      </c>
      <c r="M278" s="180">
        <v>1.68</v>
      </c>
      <c r="N278" s="180">
        <v>2.23</v>
      </c>
      <c r="O278" s="181">
        <v>2.57</v>
      </c>
      <c r="P278" s="182">
        <v>100</v>
      </c>
      <c r="Q278" s="182">
        <f>(P278*$E278*$F278*$G278*$L278*$Q$12)</f>
        <v>7118622.2800000003</v>
      </c>
      <c r="R278" s="182"/>
      <c r="S278" s="182">
        <f>(R278*$E278*$F278*$G278*$L278*$S$12)</f>
        <v>0</v>
      </c>
      <c r="T278" s="182">
        <f>25+8</f>
        <v>33</v>
      </c>
      <c r="U278" s="182">
        <f t="shared" ref="U278:U281" si="1052">(T278/12*11*$E278*$F278*$G278*$L278*$U$12)+(T278/12*1*$E278*$F278*$G278*$L278*$U$14)</f>
        <v>2696178.1885500001</v>
      </c>
      <c r="V278" s="182"/>
      <c r="W278" s="183">
        <f t="shared" ref="W278:W281" si="1053">(V278*$E278*$F278*$G278*$L278*$W$12)/12*10+(V278*$E278*$F278*$G278*$L278*$W$13)/12*1++(V278*$E278*$F278*$G278*$L278*$W$14)/12*1</f>
        <v>0</v>
      </c>
      <c r="X278" s="183"/>
      <c r="Y278" s="183">
        <v>0</v>
      </c>
      <c r="Z278" s="183"/>
      <c r="AA278" s="183">
        <v>0</v>
      </c>
      <c r="AB278" s="182">
        <f t="shared" ref="AB278:AC281" si="1054">X278+Z278</f>
        <v>0</v>
      </c>
      <c r="AC278" s="182">
        <f t="shared" si="1054"/>
        <v>0</v>
      </c>
      <c r="AD278" s="182"/>
      <c r="AE278" s="182">
        <f>(AD278*$E278*$F278*$G278*$L278*$AE$12)</f>
        <v>0</v>
      </c>
      <c r="AF278" s="182"/>
      <c r="AG278" s="182"/>
      <c r="AH278" s="182">
        <v>3</v>
      </c>
      <c r="AI278" s="182">
        <f>(AH278*$E278*$F278*$G278*$L278*$AI$12)</f>
        <v>213558.6684</v>
      </c>
      <c r="AJ278" s="182"/>
      <c r="AK278" s="182"/>
      <c r="AL278" s="182"/>
      <c r="AM278" s="182"/>
      <c r="AN278" s="184"/>
      <c r="AO278" s="182">
        <f>(AN278*$E278*$F278*$G278*$L278*$AO$12)</f>
        <v>0</v>
      </c>
      <c r="AP278" s="182">
        <v>3</v>
      </c>
      <c r="AQ278" s="183">
        <f>(AP278*$E278*$F278*$G278*$L278*$AQ$12)</f>
        <v>213558.6684</v>
      </c>
      <c r="AR278" s="182"/>
      <c r="AS278" s="182">
        <f t="shared" ref="AS278:AS281" si="1055">(AR278*$E278*$F278*$G278*$L278*$AS$12)/12*10+(AR278*$E278*$F278*$G278*$L278*$AS$13)/12*1+(AR278*$E278*$F278*$G278*$L278*$AS$14)/12*1</f>
        <v>0</v>
      </c>
      <c r="AT278" s="182"/>
      <c r="AU278" s="182">
        <f>(AT278*$E278*$F278*$G278*$M278*$AU$12)</f>
        <v>0</v>
      </c>
      <c r="AV278" s="188"/>
      <c r="AW278" s="182">
        <f>(AV278*$E278*$F278*$G278*$M278*$AW$12)</f>
        <v>0</v>
      </c>
      <c r="AX278" s="182">
        <v>1</v>
      </c>
      <c r="AY278" s="187">
        <f>(AX278*$E278*$F278*$G278*$M278*$AY$12)</f>
        <v>85423.46736000001</v>
      </c>
      <c r="AZ278" s="182"/>
      <c r="BA278" s="182">
        <f>(AZ278*$E278*$F278*$G278*$L278*$BA$12)</f>
        <v>0</v>
      </c>
      <c r="BB278" s="182"/>
      <c r="BC278" s="182">
        <f>(BB278*$E278*$F278*$G278*$L278*$BC$12)</f>
        <v>0</v>
      </c>
      <c r="BD278" s="182"/>
      <c r="BE278" s="182">
        <f>(BD278*$E278*$F278*$G278*$L278*$BE$12)</f>
        <v>0</v>
      </c>
      <c r="BF278" s="182"/>
      <c r="BG278" s="182">
        <f>(BF278*$E278*$F278*$G278*$L278*$BG$12)</f>
        <v>0</v>
      </c>
      <c r="BH278" s="182"/>
      <c r="BI278" s="183">
        <f>(BH278*$E278*$F278*$G278*$L278*$BI$12)</f>
        <v>0</v>
      </c>
      <c r="BJ278" s="182"/>
      <c r="BK278" s="183">
        <f>(BJ278*$E278*$F278*$G278*$L278*$BK$12)</f>
        <v>0</v>
      </c>
      <c r="BL278" s="182"/>
      <c r="BM278" s="182">
        <f>(BL278*$E278*$F278*$G278*$L278*$BM$12)</f>
        <v>0</v>
      </c>
      <c r="BN278" s="182">
        <v>3</v>
      </c>
      <c r="BO278" s="182">
        <f>(BN278*$E278*$F278*$G278*$M278*$BO$12)</f>
        <v>256270.40208</v>
      </c>
      <c r="BP278" s="182"/>
      <c r="BQ278" s="182">
        <f>(BP278*$E278*$F278*$G278*$M278*$BQ$12)</f>
        <v>0</v>
      </c>
      <c r="BR278" s="182"/>
      <c r="BS278" s="183">
        <f>(BR278*$E278*$F278*$G278*$M278*$BS$12)</f>
        <v>0</v>
      </c>
      <c r="BT278" s="182"/>
      <c r="BU278" s="182">
        <f>(BT278*$E278*$F278*$G278*$M278*$BU$12)</f>
        <v>0</v>
      </c>
      <c r="BV278" s="182"/>
      <c r="BW278" s="182">
        <f>(BV278*$E278*$F278*$G278*$M278*$BW$12)</f>
        <v>0</v>
      </c>
      <c r="BX278" s="182">
        <v>1</v>
      </c>
      <c r="BY278" s="183">
        <f t="shared" ref="BY278:BY280" si="1056">(BX278*$E278*$F278*$G278*$M278*$BY$12)/12*11+(BX278*$E278*$F278*$G278*$M278*$BY$12*$BY$15)/12</f>
        <v>104735.383599168</v>
      </c>
      <c r="BZ278" s="182"/>
      <c r="CA278" s="187">
        <f>(BZ278*$E278*$F278*$G278*$M278*$CA$12)</f>
        <v>0</v>
      </c>
      <c r="CB278" s="182"/>
      <c r="CC278" s="182">
        <f>(CB278*$E278*$F278*$G278*$L278*$CC$12)</f>
        <v>0</v>
      </c>
      <c r="CD278" s="182"/>
      <c r="CE278" s="182">
        <f>(CD278*$E278*$F278*$G278*$L278*$CE$12)</f>
        <v>0</v>
      </c>
      <c r="CF278" s="182"/>
      <c r="CG278" s="182">
        <f>(CF278*$E278*$F278*$G278*$L278*$CG$12)</f>
        <v>0</v>
      </c>
      <c r="CH278" s="182"/>
      <c r="CI278" s="182">
        <f>(CH278*$E278*$F278*$G278*$M278*$CI$12)</f>
        <v>0</v>
      </c>
      <c r="CJ278" s="182"/>
      <c r="CK278" s="182"/>
      <c r="CL278" s="182"/>
      <c r="CM278" s="183">
        <f>(CL278*$E278*$F278*$G278*$L278*$CM$12)</f>
        <v>0</v>
      </c>
      <c r="CN278" s="182"/>
      <c r="CO278" s="183">
        <f>(CN278*$E278*$F278*$G278*$L278*$CO$12)</f>
        <v>0</v>
      </c>
      <c r="CP278" s="182"/>
      <c r="CQ278" s="182">
        <f>(CP278*$E278*$F278*$G278*$L278*$CQ$12)</f>
        <v>0</v>
      </c>
      <c r="CR278" s="182"/>
      <c r="CS278" s="182">
        <f>(CR278*$E278*$F278*$G278*$L278*$CS$12)</f>
        <v>0</v>
      </c>
      <c r="CT278" s="182"/>
      <c r="CU278" s="182">
        <f>(CT278*$E278*$F278*$G278*$L278*$CU$12)</f>
        <v>0</v>
      </c>
      <c r="CV278" s="182"/>
      <c r="CW278" s="182">
        <v>0</v>
      </c>
      <c r="CX278" s="182"/>
      <c r="CY278" s="182">
        <f>(CX278*$E278*$F278*$G278*$M278*$CY$12)</f>
        <v>0</v>
      </c>
      <c r="CZ278" s="182"/>
      <c r="DA278" s="182">
        <v>0</v>
      </c>
      <c r="DB278" s="188">
        <v>43</v>
      </c>
      <c r="DC278" s="182">
        <f>(DB278*$E278*$F278*$G278*$M278*$DC$12)</f>
        <v>3005352.8971199999</v>
      </c>
      <c r="DD278" s="182"/>
      <c r="DE278" s="187">
        <f t="shared" ref="DE278:DE281" si="1057">(DD278*$E278*$F278*$G278*$M278*DE$12)</f>
        <v>0</v>
      </c>
      <c r="DF278" s="182"/>
      <c r="DG278" s="182">
        <f>(DF278*$E278*$F278*$G278*$M278*$DG$12)</f>
        <v>0</v>
      </c>
      <c r="DH278" s="189"/>
      <c r="DI278" s="182">
        <f>(DH278*$E278*$F278*$G278*$M278*$DI$12)</f>
        <v>0</v>
      </c>
      <c r="DJ278" s="182"/>
      <c r="DK278" s="182">
        <f t="shared" ref="DK278:DK279" si="1058">(DJ278/12*11*$E278*$F278*$G278*$M278*$DK$12)+(DJ278/12*1*$E278*$F278*$M278*$G278*$DK$12*$DK$15)</f>
        <v>0</v>
      </c>
      <c r="DL278" s="182"/>
      <c r="DM278" s="182">
        <f>(DL278*$E278*$F278*$G278*$N278*$DM$12)</f>
        <v>0</v>
      </c>
      <c r="DN278" s="182"/>
      <c r="DO278" s="190">
        <f>(DN278*$E278*$F278*$G278*$O278*$DO$12)</f>
        <v>0</v>
      </c>
      <c r="DP278" s="187"/>
      <c r="DQ278" s="187"/>
      <c r="DR278" s="183">
        <f t="shared" ref="DR278:DS281" si="1059">SUM(P278,R278,T278,V278,AB278,AJ278,AD278,AF278,AH278,AL278,AN278,AP278,AV278,AZ278,BB278,CF278,AR278,BF278,BH278,BJ278,CT278,BL278,BN278,AT278,BR278,AX278,CV278,BT278,CX278,BV278,BX278,BZ278,CH278,CB278,CD278,CJ278,CL278,CN278,CP278,CR278,CZ278,DB278,BP278,BD278,DD278,DF278,DH278,DJ278,DL278,DN278,DP278)</f>
        <v>187</v>
      </c>
      <c r="DS278" s="183">
        <f t="shared" si="1059"/>
        <v>13693699.955509167</v>
      </c>
      <c r="DT278" s="182">
        <v>188</v>
      </c>
      <c r="DU278" s="182">
        <v>13733116.673080001</v>
      </c>
      <c r="DV278" s="167">
        <f t="shared" si="1035"/>
        <v>-1</v>
      </c>
      <c r="DW278" s="167">
        <f t="shared" si="1035"/>
        <v>-39416.717570833862</v>
      </c>
    </row>
    <row r="279" spans="1:127" s="6" customFormat="1" x14ac:dyDescent="0.25">
      <c r="A279" s="154"/>
      <c r="B279" s="176">
        <v>240</v>
      </c>
      <c r="C279" s="177" t="s">
        <v>638</v>
      </c>
      <c r="D279" s="210" t="s">
        <v>639</v>
      </c>
      <c r="E279" s="158">
        <v>25969</v>
      </c>
      <c r="F279" s="179">
        <v>1.67</v>
      </c>
      <c r="G279" s="168">
        <v>1</v>
      </c>
      <c r="H279" s="169"/>
      <c r="I279" s="169"/>
      <c r="J279" s="169"/>
      <c r="K279" s="106"/>
      <c r="L279" s="180">
        <v>1.4</v>
      </c>
      <c r="M279" s="180">
        <v>1.68</v>
      </c>
      <c r="N279" s="180">
        <v>2.23</v>
      </c>
      <c r="O279" s="181">
        <v>2.57</v>
      </c>
      <c r="P279" s="182">
        <v>366</v>
      </c>
      <c r="Q279" s="182">
        <f>(P279*$E279*$F279*$G279*$L279*$Q$12)</f>
        <v>24444069.157199997</v>
      </c>
      <c r="R279" s="182">
        <v>10</v>
      </c>
      <c r="S279" s="182">
        <f>(R279*$E279*$F279*$G279*$L279*$S$12)</f>
        <v>667870.74199999997</v>
      </c>
      <c r="T279" s="182">
        <f>33+9</f>
        <v>42</v>
      </c>
      <c r="U279" s="182">
        <f t="shared" si="1052"/>
        <v>3219440.5540499995</v>
      </c>
      <c r="V279" s="182"/>
      <c r="W279" s="183">
        <f t="shared" si="1053"/>
        <v>0</v>
      </c>
      <c r="X279" s="183"/>
      <c r="Y279" s="183">
        <v>0</v>
      </c>
      <c r="Z279" s="183"/>
      <c r="AA279" s="183">
        <v>0</v>
      </c>
      <c r="AB279" s="182">
        <f t="shared" si="1054"/>
        <v>0</v>
      </c>
      <c r="AC279" s="182">
        <f t="shared" si="1054"/>
        <v>0</v>
      </c>
      <c r="AD279" s="182"/>
      <c r="AE279" s="182">
        <f>(AD279*$E279*$F279*$G279*$L279*$AE$12)</f>
        <v>0</v>
      </c>
      <c r="AF279" s="182"/>
      <c r="AG279" s="182"/>
      <c r="AH279" s="182">
        <v>10</v>
      </c>
      <c r="AI279" s="182">
        <f>(AH279*$E279*$F279*$G279*$L279*$AI$12)</f>
        <v>667870.74199999997</v>
      </c>
      <c r="AJ279" s="182"/>
      <c r="AK279" s="182"/>
      <c r="AL279" s="182"/>
      <c r="AM279" s="182"/>
      <c r="AN279" s="184"/>
      <c r="AO279" s="182">
        <f>(AN279*$E279*$F279*$G279*$L279*$AO$12)</f>
        <v>0</v>
      </c>
      <c r="AP279" s="182">
        <v>13</v>
      </c>
      <c r="AQ279" s="183">
        <f>(AP279*$E279*$F279*$G279*$L279*$AQ$12)</f>
        <v>868231.96460000006</v>
      </c>
      <c r="AR279" s="182"/>
      <c r="AS279" s="182">
        <f t="shared" si="1055"/>
        <v>0</v>
      </c>
      <c r="AT279" s="182"/>
      <c r="AU279" s="182">
        <f>(AT279*$E279*$F279*$G279*$M279*$AU$12)</f>
        <v>0</v>
      </c>
      <c r="AV279" s="188"/>
      <c r="AW279" s="182">
        <f>(AV279*$E279*$F279*$G279*$M279*$AW$12)</f>
        <v>0</v>
      </c>
      <c r="AX279" s="182">
        <v>2</v>
      </c>
      <c r="AY279" s="187">
        <f>(AX279*$E279*$F279*$G279*$M279*$AY$12)</f>
        <v>160288.97808</v>
      </c>
      <c r="AZ279" s="182"/>
      <c r="BA279" s="182">
        <f>(AZ279*$E279*$F279*$G279*$L279*$BA$12)</f>
        <v>0</v>
      </c>
      <c r="BB279" s="182"/>
      <c r="BC279" s="182">
        <f>(BB279*$E279*$F279*$G279*$L279*$BC$12)</f>
        <v>0</v>
      </c>
      <c r="BD279" s="182"/>
      <c r="BE279" s="182">
        <f>(BD279*$E279*$F279*$G279*$L279*$BE$12)</f>
        <v>0</v>
      </c>
      <c r="BF279" s="182"/>
      <c r="BG279" s="182">
        <f>(BF279*$E279*$F279*$G279*$L279*$BG$12)</f>
        <v>0</v>
      </c>
      <c r="BH279" s="182"/>
      <c r="BI279" s="183">
        <f>(BH279*$E279*$F279*$G279*$L279*$BI$12)</f>
        <v>0</v>
      </c>
      <c r="BJ279" s="182"/>
      <c r="BK279" s="183">
        <f>(BJ279*$E279*$F279*$G279*$L279*$BK$12)</f>
        <v>0</v>
      </c>
      <c r="BL279" s="182">
        <v>7</v>
      </c>
      <c r="BM279" s="182">
        <f t="shared" ref="BM279" si="1060">(BL279/12*11*$E279*$F279*$G279*$L279*$BM$12)+(BL279/12*$E279*$F279*$G279*$L279*$BM$12*$BM$15)</f>
        <v>593260.22992821189</v>
      </c>
      <c r="BN279" s="182">
        <v>13</v>
      </c>
      <c r="BO279" s="182">
        <f>(BN279*$E279*$F279*$G279*$M279*$BO$12)</f>
        <v>1041878.35752</v>
      </c>
      <c r="BP279" s="182">
        <v>32</v>
      </c>
      <c r="BQ279" s="182">
        <f t="shared" ref="BQ279" si="1061">(BP279/12*11*$E279*$F279*$G279*$M279*$BQ$12)+(BP279/12*$E279*$F279*$G279*$M279*$BQ$14*$BQ$15)</f>
        <v>2507430.5990043515</v>
      </c>
      <c r="BR279" s="182"/>
      <c r="BS279" s="183">
        <f>(BR279*$E279*$F279*$G279*$M279*$BS$12)</f>
        <v>0</v>
      </c>
      <c r="BT279" s="182">
        <v>11</v>
      </c>
      <c r="BU279" s="182">
        <f t="shared" ref="BU279" si="1062">(BT279*$E279*$F279*$G279*$M279*$BU$12)/12*10+(BT279*$E279*$F279*$G279*$M279*$BU$13)/12+(BT279*$E279*$F279*$G279*$M279*$BU$13*$BU$15)/12</f>
        <v>892810.67649878701</v>
      </c>
      <c r="BV279" s="182">
        <v>9</v>
      </c>
      <c r="BW279" s="182">
        <f>(BV279*$E279*$F279*$G279*$M279*$BW$12)</f>
        <v>590154.87384000001</v>
      </c>
      <c r="BX279" s="182">
        <v>6</v>
      </c>
      <c r="BY279" s="183">
        <f t="shared" si="1056"/>
        <v>589577.83351891185</v>
      </c>
      <c r="BZ279" s="182">
        <v>9</v>
      </c>
      <c r="CA279" s="187">
        <f t="shared" ref="CA279" si="1063">(BZ279*$E279*$F279*$G279*$M279*$CA$12)/12*11+(BZ279*$E279*$F279*$G279*$M279*$CA$12*$CA$15)/12</f>
        <v>856986.84277037997</v>
      </c>
      <c r="CB279" s="182"/>
      <c r="CC279" s="182">
        <f>(CB279*$E279*$F279*$G279*$L279*$CC$12)</f>
        <v>0</v>
      </c>
      <c r="CD279" s="182">
        <v>25</v>
      </c>
      <c r="CE279" s="182">
        <f>(CD279*$E279*$F279*$G279*$L279*$CE$12)</f>
        <v>1517888.0499999998</v>
      </c>
      <c r="CF279" s="182"/>
      <c r="CG279" s="182">
        <f>(CF279*$E279*$F279*$G279*$L279*$CG$12)</f>
        <v>0</v>
      </c>
      <c r="CH279" s="182">
        <v>7</v>
      </c>
      <c r="CI279" s="182">
        <f t="shared" ref="CI279:CI280" si="1064">(CH279*$E279*$F279*$G279*$M279*$CI$12)/12*11+(CH279*$E279*$F279*$G279*$M279*$CI$12*$CI$15)/12</f>
        <v>568373.42318458785</v>
      </c>
      <c r="CJ279" s="182"/>
      <c r="CK279" s="182"/>
      <c r="CL279" s="182">
        <v>5</v>
      </c>
      <c r="CM279" s="183">
        <f>(CL279*$E279*$F279*$G279*$L279*$CM$12)</f>
        <v>242862.08799999999</v>
      </c>
      <c r="CN279" s="182">
        <v>2</v>
      </c>
      <c r="CO279" s="183">
        <f>(CN279*$E279*$F279*$G279*$L279*$CO$12)</f>
        <v>97144.835199999987</v>
      </c>
      <c r="CP279" s="182">
        <v>5</v>
      </c>
      <c r="CQ279" s="182">
        <f>(CP279*$E279*$F279*$G279*$L279*$CQ$12)/12*11+(CP279*$E279*$F279*$G279*$L279*$CQ$12*$CQ$15)/12</f>
        <v>336461.13671519997</v>
      </c>
      <c r="CR279" s="182">
        <v>29</v>
      </c>
      <c r="CS279" s="182">
        <f t="shared" ref="CS279" si="1065">(CR279*$E279*$F279*$G279*$L279*$CS$12)/12*10+(CR279*$E279*$F279*$G279*$L279*$CS$13)/12+(CR279*$E279*$F279*$G279*$L279*$CS$13*$CS$15)/12</f>
        <v>2110907.5833604964</v>
      </c>
      <c r="CT279" s="182">
        <v>20</v>
      </c>
      <c r="CU279" s="182">
        <f t="shared" ref="CU279" si="1066">(CT279*$E279*$F279*$G279*$L279*$CU$12)/12*11+(CT279*$E279*$F279*$G279*$L279*$CU$12*$CU$15)/12</f>
        <v>1274770.9568075999</v>
      </c>
      <c r="CV279" s="182">
        <v>10</v>
      </c>
      <c r="CW279" s="182">
        <v>728586.3</v>
      </c>
      <c r="CX279" s="182"/>
      <c r="CY279" s="182">
        <f>(CX279*$E279*$F279*$G279*$M279*$CY$12)</f>
        <v>0</v>
      </c>
      <c r="CZ279" s="182">
        <v>1</v>
      </c>
      <c r="DA279" s="182">
        <v>72858.63</v>
      </c>
      <c r="DB279" s="188">
        <v>190</v>
      </c>
      <c r="DC279" s="182">
        <f>(DB279*$E279*$F279*$G279*$M279*$DC$12)</f>
        <v>12458825.114399999</v>
      </c>
      <c r="DD279" s="182"/>
      <c r="DE279" s="187">
        <f t="shared" si="1057"/>
        <v>0</v>
      </c>
      <c r="DF279" s="182"/>
      <c r="DG279" s="182">
        <f>(DF279*$E279*$F279*$G279*$M279*$DG$12)</f>
        <v>0</v>
      </c>
      <c r="DH279" s="189">
        <f>ROUND(1*0.75,0)</f>
        <v>1</v>
      </c>
      <c r="DI279" s="182">
        <f>(DH279*$E279*$F279*$G279*$M279*$DI$12)</f>
        <v>72858.626399999994</v>
      </c>
      <c r="DJ279" s="182">
        <v>15</v>
      </c>
      <c r="DK279" s="182">
        <f t="shared" si="1058"/>
        <v>1190901.5704929</v>
      </c>
      <c r="DL279" s="182">
        <f>ROUND(5*0.75,0)</f>
        <v>4</v>
      </c>
      <c r="DM279" s="182">
        <f>(DL279*$E279*$F279*$G279*$N279*$DM$12)</f>
        <v>386844.61159999995</v>
      </c>
      <c r="DN279" s="182">
        <f>ROUND(1*0.75,0)</f>
        <v>1</v>
      </c>
      <c r="DO279" s="190">
        <f>(DN279*$E279*$F279*$G279*$O279*$DO$12)</f>
        <v>111456.35109999999</v>
      </c>
      <c r="DP279" s="187"/>
      <c r="DQ279" s="187"/>
      <c r="DR279" s="183">
        <f t="shared" si="1059"/>
        <v>845</v>
      </c>
      <c r="DS279" s="183">
        <f t="shared" si="1059"/>
        <v>58270610.828271411</v>
      </c>
      <c r="DT279" s="182">
        <v>846</v>
      </c>
      <c r="DU279" s="182">
        <v>57335720.227086641</v>
      </c>
      <c r="DV279" s="167">
        <f t="shared" si="1035"/>
        <v>-1</v>
      </c>
      <c r="DW279" s="167">
        <f t="shared" si="1035"/>
        <v>934890.60118477046</v>
      </c>
    </row>
    <row r="280" spans="1:127" ht="15.75" customHeight="1" x14ac:dyDescent="0.25">
      <c r="A280" s="154"/>
      <c r="B280" s="176">
        <v>241</v>
      </c>
      <c r="C280" s="177" t="s">
        <v>640</v>
      </c>
      <c r="D280" s="210" t="s">
        <v>641</v>
      </c>
      <c r="E280" s="158">
        <v>25969</v>
      </c>
      <c r="F280" s="179">
        <v>0.87</v>
      </c>
      <c r="G280" s="168">
        <v>1</v>
      </c>
      <c r="H280" s="169"/>
      <c r="I280" s="169"/>
      <c r="J280" s="169"/>
      <c r="K280" s="106"/>
      <c r="L280" s="180">
        <v>1.4</v>
      </c>
      <c r="M280" s="180">
        <v>1.68</v>
      </c>
      <c r="N280" s="180">
        <v>2.23</v>
      </c>
      <c r="O280" s="181">
        <v>2.57</v>
      </c>
      <c r="P280" s="182">
        <v>17</v>
      </c>
      <c r="Q280" s="182">
        <f>(P280*$E280*$F280*$G280*$L280*$Q$12)</f>
        <v>591485.52540000004</v>
      </c>
      <c r="R280" s="182">
        <v>2</v>
      </c>
      <c r="S280" s="182">
        <f>(R280*$E280*$F280*$G280*$L280*$S$12)</f>
        <v>69586.532399999996</v>
      </c>
      <c r="T280" s="182">
        <v>1</v>
      </c>
      <c r="U280" s="182">
        <f t="shared" si="1052"/>
        <v>39933.180524999996</v>
      </c>
      <c r="V280" s="182"/>
      <c r="W280" s="183">
        <f t="shared" si="1053"/>
        <v>0</v>
      </c>
      <c r="X280" s="183"/>
      <c r="Y280" s="183">
        <v>0</v>
      </c>
      <c r="Z280" s="183"/>
      <c r="AA280" s="183">
        <v>0</v>
      </c>
      <c r="AB280" s="182">
        <f t="shared" si="1054"/>
        <v>0</v>
      </c>
      <c r="AC280" s="182">
        <f t="shared" si="1054"/>
        <v>0</v>
      </c>
      <c r="AD280" s="182"/>
      <c r="AE280" s="182">
        <f>(AD280*$E280*$F280*$G280*$L280*$AE$12)</f>
        <v>0</v>
      </c>
      <c r="AF280" s="182"/>
      <c r="AG280" s="182"/>
      <c r="AH280" s="182">
        <v>5</v>
      </c>
      <c r="AI280" s="182">
        <f>(AH280*$E280*$F280*$G280*$L280*$AI$12)</f>
        <v>173966.33100000001</v>
      </c>
      <c r="AJ280" s="182"/>
      <c r="AK280" s="182"/>
      <c r="AL280" s="182"/>
      <c r="AM280" s="182"/>
      <c r="AN280" s="184"/>
      <c r="AO280" s="182">
        <f>(AN280*$E280*$F280*$G280*$L280*$AO$12)</f>
        <v>0</v>
      </c>
      <c r="AP280" s="182">
        <v>2</v>
      </c>
      <c r="AQ280" s="183">
        <f>(AP280*$E280*$F280*$G280*$L280*$AQ$12)</f>
        <v>69586.532399999996</v>
      </c>
      <c r="AR280" s="182">
        <v>4</v>
      </c>
      <c r="AS280" s="182">
        <f>(AR280*$E280*$F280*$G280*$L280*$AS$12)/12*10+(AR280*$E280*$F280*$G280*$L280*$AS$13)/12*1+(AR280*$E280*$F280*$L280*$G280*$AS$14*$AS$15)/12*1</f>
        <v>150241.5408172</v>
      </c>
      <c r="AT280" s="182"/>
      <c r="AU280" s="182">
        <f>(AT280*$E280*$F280*$G280*$M280*$AU$12)</f>
        <v>0</v>
      </c>
      <c r="AV280" s="188"/>
      <c r="AW280" s="182">
        <f>(AV280*$E280*$F280*$G280*$M280*$AW$12)</f>
        <v>0</v>
      </c>
      <c r="AX280" s="182">
        <v>1</v>
      </c>
      <c r="AY280" s="187">
        <f>(AX280*$E280*$F280*$G280*$M280*$AY$12)</f>
        <v>41751.919439999998</v>
      </c>
      <c r="AZ280" s="182"/>
      <c r="BA280" s="182">
        <f>(AZ280*$E280*$F280*$G280*$L280*$BA$12)</f>
        <v>0</v>
      </c>
      <c r="BB280" s="182">
        <v>0</v>
      </c>
      <c r="BC280" s="182">
        <f>(BB280*$E280*$F280*$G280*$L280*$BC$12)</f>
        <v>0</v>
      </c>
      <c r="BD280" s="182"/>
      <c r="BE280" s="182">
        <f>(BD280*$E280*$F280*$G280*$L280*$BE$12)</f>
        <v>0</v>
      </c>
      <c r="BF280" s="182"/>
      <c r="BG280" s="182">
        <f>(BF280*$E280*$F280*$G280*$L280*$BG$12)</f>
        <v>0</v>
      </c>
      <c r="BH280" s="182"/>
      <c r="BI280" s="183">
        <f>(BH280*$E280*$F280*$G280*$L280*$BI$12)</f>
        <v>0</v>
      </c>
      <c r="BJ280" s="182"/>
      <c r="BK280" s="183">
        <f>(BJ280*$E280*$F280*$G280*$L280*$BK$12)</f>
        <v>0</v>
      </c>
      <c r="BL280" s="182"/>
      <c r="BM280" s="182">
        <f>(BL280*$E280*$F280*$G280*$L280*$BM$12)</f>
        <v>0</v>
      </c>
      <c r="BN280" s="182">
        <v>3</v>
      </c>
      <c r="BO280" s="182">
        <f>(BN280*$E280*$F280*$G280*$M280*$BO$12)</f>
        <v>125255.75832000001</v>
      </c>
      <c r="BP280" s="182"/>
      <c r="BQ280" s="182">
        <f>(BP280*$E280*$F280*$G280*$M280*$BQ$12)</f>
        <v>0</v>
      </c>
      <c r="BR280" s="182"/>
      <c r="BS280" s="183">
        <f>(BR280*$E280*$F280*$G280*$M280*$BS$12)</f>
        <v>0</v>
      </c>
      <c r="BT280" s="182"/>
      <c r="BU280" s="182">
        <f>(BT280*$E280*$F280*$G280*$M280*$BU$12)</f>
        <v>0</v>
      </c>
      <c r="BV280" s="182"/>
      <c r="BW280" s="182">
        <f>(BV280*$E280*$F280*$G280*$M280*$BW$12)</f>
        <v>0</v>
      </c>
      <c r="BX280" s="182">
        <v>3</v>
      </c>
      <c r="BY280" s="183">
        <f t="shared" si="1056"/>
        <v>153572.669210016</v>
      </c>
      <c r="BZ280" s="182"/>
      <c r="CA280" s="187">
        <f>(BZ280*$E280*$F280*$G280*$M280*$CA$12)</f>
        <v>0</v>
      </c>
      <c r="CB280" s="182"/>
      <c r="CC280" s="182">
        <f>(CB280*$E280*$F280*$G280*$L280*$CC$12)</f>
        <v>0</v>
      </c>
      <c r="CD280" s="182"/>
      <c r="CE280" s="182">
        <f>(CD280*$E280*$F280*$G280*$L280*$CE$12)</f>
        <v>0</v>
      </c>
      <c r="CF280" s="182"/>
      <c r="CG280" s="182">
        <f>(CF280*$E280*$F280*$G280*$L280*$CG$12)</f>
        <v>0</v>
      </c>
      <c r="CH280" s="182">
        <v>2</v>
      </c>
      <c r="CI280" s="182">
        <f t="shared" si="1064"/>
        <v>84599.636983848002</v>
      </c>
      <c r="CJ280" s="182"/>
      <c r="CK280" s="182"/>
      <c r="CL280" s="182"/>
      <c r="CM280" s="183">
        <f>(CL280*$E280*$F280*$G280*$L280*$CM$12)</f>
        <v>0</v>
      </c>
      <c r="CN280" s="182"/>
      <c r="CO280" s="183">
        <f>(CN280*$E280*$F280*$G280*$L280*$CO$12)</f>
        <v>0</v>
      </c>
      <c r="CP280" s="182"/>
      <c r="CQ280" s="182">
        <f>(CP280*$E280*$F280*$G280*$L280*$CQ$12)</f>
        <v>0</v>
      </c>
      <c r="CR280" s="182"/>
      <c r="CS280" s="182">
        <f>(CR280*$E280*$F280*$G280*$L280*$CS$12)</f>
        <v>0</v>
      </c>
      <c r="CT280" s="182"/>
      <c r="CU280" s="182">
        <f>(CT280*$E280*$F280*$G280*$L280*$CU$12)</f>
        <v>0</v>
      </c>
      <c r="CV280" s="182">
        <v>7</v>
      </c>
      <c r="CW280" s="182">
        <v>265694.03000000003</v>
      </c>
      <c r="CX280" s="182"/>
      <c r="CY280" s="182">
        <f>(CX280*$E280*$F280*$G280*$M280*$CY$12)</f>
        <v>0</v>
      </c>
      <c r="CZ280" s="182"/>
      <c r="DA280" s="182">
        <v>0</v>
      </c>
      <c r="DB280" s="188"/>
      <c r="DC280" s="182">
        <f>(DB280*$E280*$F280*$G280*$M280*$DC$12)</f>
        <v>0</v>
      </c>
      <c r="DD280" s="182"/>
      <c r="DE280" s="187">
        <f t="shared" si="1057"/>
        <v>0</v>
      </c>
      <c r="DF280" s="182"/>
      <c r="DG280" s="182">
        <f>(DF280*$E280*$F280*$G280*$M280*$DG$12)</f>
        <v>0</v>
      </c>
      <c r="DH280" s="189"/>
      <c r="DI280" s="182">
        <f>(DH280*$E280*$F280*$G280*$M280*$DI$12)</f>
        <v>0</v>
      </c>
      <c r="DJ280" s="182"/>
      <c r="DK280" s="182">
        <f>(DJ280*$E280*$F280*$G280*$M280*$DK$12)</f>
        <v>0</v>
      </c>
      <c r="DL280" s="182"/>
      <c r="DM280" s="182">
        <f>(DL280*$E280*$F280*$G280*$N280*$DM$12)</f>
        <v>0</v>
      </c>
      <c r="DN280" s="182">
        <f>ROUND(1*0.75,0)</f>
        <v>1</v>
      </c>
      <c r="DO280" s="190">
        <f>(DN280*$E280*$F280*$G280*$O280*$DO$12)</f>
        <v>58064.087099999997</v>
      </c>
      <c r="DP280" s="187"/>
      <c r="DQ280" s="187"/>
      <c r="DR280" s="183">
        <f t="shared" si="1059"/>
        <v>48</v>
      </c>
      <c r="DS280" s="183">
        <f t="shared" si="1059"/>
        <v>1823737.7435960642</v>
      </c>
      <c r="DT280" s="182">
        <v>47</v>
      </c>
      <c r="DU280" s="182">
        <v>1757135.2504</v>
      </c>
      <c r="DV280" s="167">
        <f t="shared" si="1035"/>
        <v>1</v>
      </c>
      <c r="DW280" s="167">
        <f t="shared" si="1035"/>
        <v>66602.493196064141</v>
      </c>
    </row>
    <row r="281" spans="1:127" ht="15.75" customHeight="1" x14ac:dyDescent="0.25">
      <c r="A281" s="154"/>
      <c r="B281" s="176">
        <v>242</v>
      </c>
      <c r="C281" s="177" t="s">
        <v>642</v>
      </c>
      <c r="D281" s="210" t="s">
        <v>643</v>
      </c>
      <c r="E281" s="158">
        <v>25969</v>
      </c>
      <c r="F281" s="179">
        <v>1.57</v>
      </c>
      <c r="G281" s="168">
        <v>1</v>
      </c>
      <c r="H281" s="169"/>
      <c r="I281" s="169"/>
      <c r="J281" s="169"/>
      <c r="K281" s="106"/>
      <c r="L281" s="180">
        <v>1.4</v>
      </c>
      <c r="M281" s="180">
        <v>1.68</v>
      </c>
      <c r="N281" s="180">
        <v>2.23</v>
      </c>
      <c r="O281" s="181">
        <v>2.57</v>
      </c>
      <c r="P281" s="182">
        <v>3</v>
      </c>
      <c r="Q281" s="182">
        <f>(P281*$E281*$F281*$G281*$L281*$Q$12)</f>
        <v>188363.54460000002</v>
      </c>
      <c r="R281" s="182"/>
      <c r="S281" s="182">
        <f>(R281*$E281*$F281*$G281*$L281*$S$12)</f>
        <v>0</v>
      </c>
      <c r="T281" s="182"/>
      <c r="U281" s="182">
        <f t="shared" si="1052"/>
        <v>0</v>
      </c>
      <c r="V281" s="182"/>
      <c r="W281" s="183">
        <f t="shared" si="1053"/>
        <v>0</v>
      </c>
      <c r="X281" s="183"/>
      <c r="Y281" s="183">
        <v>0</v>
      </c>
      <c r="Z281" s="183"/>
      <c r="AA281" s="183">
        <v>0</v>
      </c>
      <c r="AB281" s="182">
        <f t="shared" si="1054"/>
        <v>0</v>
      </c>
      <c r="AC281" s="182">
        <f t="shared" si="1054"/>
        <v>0</v>
      </c>
      <c r="AD281" s="182"/>
      <c r="AE281" s="182">
        <f>(AD281*$E281*$F281*$G281*$L281*$AE$12)</f>
        <v>0</v>
      </c>
      <c r="AF281" s="182"/>
      <c r="AG281" s="182"/>
      <c r="AH281" s="182"/>
      <c r="AI281" s="182">
        <f>(AH281*$E281*$F281*$G281*$L281*$AI$12)</f>
        <v>0</v>
      </c>
      <c r="AJ281" s="182"/>
      <c r="AK281" s="182"/>
      <c r="AL281" s="182"/>
      <c r="AM281" s="182"/>
      <c r="AN281" s="184"/>
      <c r="AO281" s="182">
        <f>(AN281*$E281*$F281*$G281*$L281*$AO$12)</f>
        <v>0</v>
      </c>
      <c r="AP281" s="182"/>
      <c r="AQ281" s="183">
        <f>(AP281*$E281*$F281*$G281*$L281*$AQ$12)</f>
        <v>0</v>
      </c>
      <c r="AR281" s="182"/>
      <c r="AS281" s="182">
        <f t="shared" si="1055"/>
        <v>0</v>
      </c>
      <c r="AT281" s="182"/>
      <c r="AU281" s="182">
        <f>(AT281*$E281*$F281*$G281*$M281*$AU$12)</f>
        <v>0</v>
      </c>
      <c r="AV281" s="188"/>
      <c r="AW281" s="182">
        <f>(AV281*$E281*$F281*$G281*$M281*$AW$12)</f>
        <v>0</v>
      </c>
      <c r="AX281" s="182"/>
      <c r="AY281" s="187">
        <f>(AX281*$E281*$F281*$G281*$M281*$AY$12)</f>
        <v>0</v>
      </c>
      <c r="AZ281" s="182"/>
      <c r="BA281" s="182">
        <f>(AZ281*$E281*$F281*$G281*$L281*$BA$12)</f>
        <v>0</v>
      </c>
      <c r="BB281" s="182"/>
      <c r="BC281" s="182">
        <f>(BB281*$E281*$F281*$G281*$L281*$BC$12)</f>
        <v>0</v>
      </c>
      <c r="BD281" s="182"/>
      <c r="BE281" s="182">
        <f>(BD281*$E281*$F281*$G281*$L281*$BE$12)</f>
        <v>0</v>
      </c>
      <c r="BF281" s="182"/>
      <c r="BG281" s="182">
        <f>(BF281*$E281*$F281*$G281*$L281*$BG$12)</f>
        <v>0</v>
      </c>
      <c r="BH281" s="182"/>
      <c r="BI281" s="183">
        <f>(BH281*$E281*$F281*$G281*$L281*$BI$12)</f>
        <v>0</v>
      </c>
      <c r="BJ281" s="182"/>
      <c r="BK281" s="183">
        <f>(BJ281*$E281*$F281*$G281*$L281*$BK$12)</f>
        <v>0</v>
      </c>
      <c r="BL281" s="182"/>
      <c r="BM281" s="182">
        <f>(BL281*$E281*$F281*$G281*$L281*$BM$12)</f>
        <v>0</v>
      </c>
      <c r="BN281" s="182"/>
      <c r="BO281" s="182">
        <f>(BN281*$E281*$F281*$G281*$M281*$BO$12)</f>
        <v>0</v>
      </c>
      <c r="BP281" s="182"/>
      <c r="BQ281" s="182">
        <f>(BP281*$E281*$F281*$G281*$M281*$BQ$12)</f>
        <v>0</v>
      </c>
      <c r="BR281" s="182"/>
      <c r="BS281" s="183">
        <f>(BR281*$E281*$F281*$G281*$M281*$BS$12)</f>
        <v>0</v>
      </c>
      <c r="BT281" s="182"/>
      <c r="BU281" s="182">
        <f>(BT281*$E281*$F281*$G281*$M281*$BU$12)</f>
        <v>0</v>
      </c>
      <c r="BV281" s="182">
        <v>2</v>
      </c>
      <c r="BW281" s="182">
        <f>(BV281*$E281*$F281*$G281*$M281*$BW$12)</f>
        <v>123292.50192000001</v>
      </c>
      <c r="BX281" s="182"/>
      <c r="BY281" s="183">
        <f>(BX281*$E281*$F281*$G281*$M281*$BY$12)</f>
        <v>0</v>
      </c>
      <c r="BZ281" s="182"/>
      <c r="CA281" s="187">
        <f>(BZ281*$E281*$F281*$G281*$M281*$CA$12)</f>
        <v>0</v>
      </c>
      <c r="CB281" s="182"/>
      <c r="CC281" s="182">
        <f>(CB281*$E281*$F281*$G281*$L281*$CC$12)</f>
        <v>0</v>
      </c>
      <c r="CD281" s="182"/>
      <c r="CE281" s="182">
        <f>(CD281*$E281*$F281*$G281*$L281*$CE$12)</f>
        <v>0</v>
      </c>
      <c r="CF281" s="182"/>
      <c r="CG281" s="182">
        <f>(CF281*$E281*$F281*$G281*$L281*$CG$12)</f>
        <v>0</v>
      </c>
      <c r="CH281" s="182"/>
      <c r="CI281" s="182">
        <f>(CH281*$E281*$F281*$G281*$M281*$CI$12)</f>
        <v>0</v>
      </c>
      <c r="CJ281" s="182"/>
      <c r="CK281" s="182"/>
      <c r="CL281" s="182"/>
      <c r="CM281" s="183">
        <f>(CL281*$E281*$F281*$G281*$L281*$CM$12)</f>
        <v>0</v>
      </c>
      <c r="CN281" s="182"/>
      <c r="CO281" s="183">
        <f>(CN281*$E281*$F281*$G281*$L281*$CO$12)</f>
        <v>0</v>
      </c>
      <c r="CP281" s="182"/>
      <c r="CQ281" s="182">
        <f>(CP281*$E281*$F281*$G281*$L281*$CQ$12)</f>
        <v>0</v>
      </c>
      <c r="CR281" s="182"/>
      <c r="CS281" s="182">
        <f>(CR281*$E281*$F281*$G281*$L281*$CS$12)</f>
        <v>0</v>
      </c>
      <c r="CT281" s="182"/>
      <c r="CU281" s="182">
        <f>(CT281*$E281*$F281*$G281*$L281*$CU$12)</f>
        <v>0</v>
      </c>
      <c r="CV281" s="182"/>
      <c r="CW281" s="182">
        <v>0</v>
      </c>
      <c r="CX281" s="182"/>
      <c r="CY281" s="182">
        <f>(CX281*$E281*$F281*$G281*$M281*$CY$12)</f>
        <v>0</v>
      </c>
      <c r="CZ281" s="182"/>
      <c r="DA281" s="182">
        <v>0</v>
      </c>
      <c r="DB281" s="188"/>
      <c r="DC281" s="182">
        <f>(DB281*$E281*$F281*$G281*$M281*$DC$12)</f>
        <v>0</v>
      </c>
      <c r="DD281" s="182"/>
      <c r="DE281" s="187">
        <f t="shared" si="1057"/>
        <v>0</v>
      </c>
      <c r="DF281" s="182"/>
      <c r="DG281" s="182">
        <f>(DF281*$E281*$F281*$G281*$M281*$DG$12)</f>
        <v>0</v>
      </c>
      <c r="DH281" s="189"/>
      <c r="DI281" s="182">
        <f>(DH281*$E281*$F281*$G281*$M281*$DI$12)</f>
        <v>0</v>
      </c>
      <c r="DJ281" s="182"/>
      <c r="DK281" s="182">
        <f>(DJ281*$E281*$F281*$G281*$M281*$DK$12)</f>
        <v>0</v>
      </c>
      <c r="DL281" s="182"/>
      <c r="DM281" s="182">
        <f>(DL281*$E281*$F281*$G281*$N281*$DM$12)</f>
        <v>0</v>
      </c>
      <c r="DN281" s="182"/>
      <c r="DO281" s="190">
        <f>(DN281*$E281*$F281*$G281*$O281*$DO$12)</f>
        <v>0</v>
      </c>
      <c r="DP281" s="187"/>
      <c r="DQ281" s="187"/>
      <c r="DR281" s="183">
        <f t="shared" si="1059"/>
        <v>5</v>
      </c>
      <c r="DS281" s="183">
        <f t="shared" si="1059"/>
        <v>311656.04652000003</v>
      </c>
      <c r="DT281" s="182">
        <v>5</v>
      </c>
      <c r="DU281" s="182">
        <v>311656.04652000003</v>
      </c>
      <c r="DV281" s="167">
        <f t="shared" si="1035"/>
        <v>0</v>
      </c>
      <c r="DW281" s="167">
        <f t="shared" si="1035"/>
        <v>0</v>
      </c>
    </row>
    <row r="282" spans="1:127" ht="15.75" customHeight="1" x14ac:dyDescent="0.25">
      <c r="A282" s="170">
        <v>25</v>
      </c>
      <c r="B282" s="197"/>
      <c r="C282" s="198"/>
      <c r="D282" s="211" t="s">
        <v>644</v>
      </c>
      <c r="E282" s="158">
        <v>25969</v>
      </c>
      <c r="F282" s="199">
        <v>1.18</v>
      </c>
      <c r="G282" s="174"/>
      <c r="H282" s="180"/>
      <c r="I282" s="180"/>
      <c r="J282" s="180"/>
      <c r="K282" s="173"/>
      <c r="L282" s="174">
        <v>1.4</v>
      </c>
      <c r="M282" s="174">
        <v>1.68</v>
      </c>
      <c r="N282" s="174">
        <v>2.23</v>
      </c>
      <c r="O282" s="175">
        <v>2.57</v>
      </c>
      <c r="P282" s="166">
        <f t="shared" ref="P282:AD282" si="1067">SUM(P283:P294)</f>
        <v>1090</v>
      </c>
      <c r="Q282" s="166">
        <f t="shared" si="1067"/>
        <v>118922664.01092002</v>
      </c>
      <c r="R282" s="166">
        <f t="shared" si="1067"/>
        <v>229</v>
      </c>
      <c r="S282" s="166">
        <f t="shared" si="1067"/>
        <v>23582075.985160004</v>
      </c>
      <c r="T282" s="166">
        <f t="shared" si="1067"/>
        <v>0</v>
      </c>
      <c r="U282" s="166">
        <f t="shared" si="1067"/>
        <v>0</v>
      </c>
      <c r="V282" s="166">
        <f t="shared" si="1067"/>
        <v>0</v>
      </c>
      <c r="W282" s="166">
        <f t="shared" si="1067"/>
        <v>0</v>
      </c>
      <c r="X282" s="166">
        <v>0</v>
      </c>
      <c r="Y282" s="166">
        <v>0</v>
      </c>
      <c r="Z282" s="166">
        <v>1</v>
      </c>
      <c r="AA282" s="166">
        <v>73294.905599999984</v>
      </c>
      <c r="AB282" s="166">
        <f t="shared" si="1067"/>
        <v>1</v>
      </c>
      <c r="AC282" s="166">
        <f t="shared" si="1067"/>
        <v>73294.905599999984</v>
      </c>
      <c r="AD282" s="166">
        <f t="shared" si="1067"/>
        <v>0</v>
      </c>
      <c r="AE282" s="166">
        <f t="shared" ref="AE282:CP282" si="1068">SUM(AE283:AE294)</f>
        <v>0</v>
      </c>
      <c r="AF282" s="166">
        <f t="shared" si="1068"/>
        <v>0</v>
      </c>
      <c r="AG282" s="166">
        <f t="shared" si="1068"/>
        <v>0</v>
      </c>
      <c r="AH282" s="166">
        <f t="shared" si="1068"/>
        <v>150</v>
      </c>
      <c r="AI282" s="166">
        <f t="shared" si="1068"/>
        <v>12304658.587759998</v>
      </c>
      <c r="AJ282" s="166">
        <f>SUM(AJ283:AJ294)</f>
        <v>0</v>
      </c>
      <c r="AK282" s="166">
        <f>SUM(AK283:AK294)</f>
        <v>0</v>
      </c>
      <c r="AL282" s="166">
        <f t="shared" si="1068"/>
        <v>0</v>
      </c>
      <c r="AM282" s="166">
        <f t="shared" si="1068"/>
        <v>0</v>
      </c>
      <c r="AN282" s="166">
        <f t="shared" si="1068"/>
        <v>2</v>
      </c>
      <c r="AO282" s="166">
        <f t="shared" si="1068"/>
        <v>133294.20258000001</v>
      </c>
      <c r="AP282" s="166">
        <f t="shared" si="1068"/>
        <v>58</v>
      </c>
      <c r="AQ282" s="166">
        <f t="shared" si="1068"/>
        <v>2359663.31678</v>
      </c>
      <c r="AR282" s="166">
        <f t="shared" si="1068"/>
        <v>346</v>
      </c>
      <c r="AS282" s="166">
        <f t="shared" si="1068"/>
        <v>15031493.467334634</v>
      </c>
      <c r="AT282" s="166">
        <f t="shared" si="1068"/>
        <v>309</v>
      </c>
      <c r="AU282" s="166">
        <f t="shared" si="1068"/>
        <v>17901052.216737941</v>
      </c>
      <c r="AV282" s="166">
        <f t="shared" si="1068"/>
        <v>11</v>
      </c>
      <c r="AW282" s="166">
        <f t="shared" si="1068"/>
        <v>806244.01000000024</v>
      </c>
      <c r="AX282" s="166">
        <f t="shared" si="1068"/>
        <v>21</v>
      </c>
      <c r="AY282" s="166">
        <f t="shared" si="1068"/>
        <v>1212485.33868</v>
      </c>
      <c r="AZ282" s="166">
        <f t="shared" si="1068"/>
        <v>0</v>
      </c>
      <c r="BA282" s="166">
        <f t="shared" si="1068"/>
        <v>0</v>
      </c>
      <c r="BB282" s="166">
        <f t="shared" si="1068"/>
        <v>0</v>
      </c>
      <c r="BC282" s="166">
        <f t="shared" si="1068"/>
        <v>0</v>
      </c>
      <c r="BD282" s="166">
        <f t="shared" si="1068"/>
        <v>0</v>
      </c>
      <c r="BE282" s="166">
        <f t="shared" si="1068"/>
        <v>0</v>
      </c>
      <c r="BF282" s="166">
        <f t="shared" si="1068"/>
        <v>0</v>
      </c>
      <c r="BG282" s="166">
        <f t="shared" si="1068"/>
        <v>0</v>
      </c>
      <c r="BH282" s="166">
        <f t="shared" si="1068"/>
        <v>0</v>
      </c>
      <c r="BI282" s="166">
        <f t="shared" si="1068"/>
        <v>0</v>
      </c>
      <c r="BJ282" s="166">
        <f t="shared" si="1068"/>
        <v>0</v>
      </c>
      <c r="BK282" s="166">
        <f t="shared" si="1068"/>
        <v>0</v>
      </c>
      <c r="BL282" s="166">
        <f t="shared" si="1068"/>
        <v>39</v>
      </c>
      <c r="BM282" s="166">
        <f t="shared" si="1068"/>
        <v>1895489.2718407796</v>
      </c>
      <c r="BN282" s="166">
        <f t="shared" si="1068"/>
        <v>372</v>
      </c>
      <c r="BO282" s="166">
        <f t="shared" si="1068"/>
        <v>46348997.733192004</v>
      </c>
      <c r="BP282" s="166">
        <f t="shared" si="1068"/>
        <v>0</v>
      </c>
      <c r="BQ282" s="166">
        <f t="shared" si="1068"/>
        <v>0</v>
      </c>
      <c r="BR282" s="166">
        <f t="shared" si="1068"/>
        <v>0</v>
      </c>
      <c r="BS282" s="166">
        <f t="shared" si="1068"/>
        <v>0</v>
      </c>
      <c r="BT282" s="166">
        <f t="shared" si="1068"/>
        <v>85</v>
      </c>
      <c r="BU282" s="166">
        <f t="shared" si="1068"/>
        <v>3946446.7573054717</v>
      </c>
      <c r="BV282" s="166">
        <f t="shared" si="1068"/>
        <v>25</v>
      </c>
      <c r="BW282" s="166">
        <f t="shared" si="1068"/>
        <v>991444.48199999996</v>
      </c>
      <c r="BX282" s="166">
        <f t="shared" si="1068"/>
        <v>83</v>
      </c>
      <c r="BY282" s="166">
        <f t="shared" si="1068"/>
        <v>4653663.7577855038</v>
      </c>
      <c r="BZ282" s="166">
        <f t="shared" si="1068"/>
        <v>84</v>
      </c>
      <c r="CA282" s="166">
        <f t="shared" si="1068"/>
        <v>7507045.0910943607</v>
      </c>
      <c r="CB282" s="166">
        <f t="shared" si="1068"/>
        <v>0</v>
      </c>
      <c r="CC282" s="166">
        <f t="shared" si="1068"/>
        <v>0</v>
      </c>
      <c r="CD282" s="166">
        <f t="shared" si="1068"/>
        <v>0</v>
      </c>
      <c r="CE282" s="166">
        <f t="shared" si="1068"/>
        <v>0</v>
      </c>
      <c r="CF282" s="166">
        <f t="shared" si="1068"/>
        <v>0</v>
      </c>
      <c r="CG282" s="166">
        <f t="shared" si="1068"/>
        <v>0</v>
      </c>
      <c r="CH282" s="166">
        <f t="shared" si="1068"/>
        <v>147</v>
      </c>
      <c r="CI282" s="166">
        <f t="shared" si="1068"/>
        <v>6752898.6095900284</v>
      </c>
      <c r="CJ282" s="166">
        <f t="shared" si="1068"/>
        <v>0</v>
      </c>
      <c r="CK282" s="166">
        <f t="shared" si="1068"/>
        <v>0</v>
      </c>
      <c r="CL282" s="166">
        <f t="shared" si="1068"/>
        <v>27</v>
      </c>
      <c r="CM282" s="166">
        <f t="shared" si="1068"/>
        <v>754763.01599999995</v>
      </c>
      <c r="CN282" s="166">
        <f t="shared" si="1068"/>
        <v>47</v>
      </c>
      <c r="CO282" s="166">
        <f t="shared" si="1068"/>
        <v>1363808.7792</v>
      </c>
      <c r="CP282" s="166">
        <f t="shared" si="1068"/>
        <v>60</v>
      </c>
      <c r="CQ282" s="166">
        <f t="shared" ref="CQ282:DQ282" si="1069">SUM(CQ283:CQ294)</f>
        <v>2135621.5863359999</v>
      </c>
      <c r="CR282" s="166">
        <f t="shared" si="1069"/>
        <v>42</v>
      </c>
      <c r="CS282" s="166">
        <f t="shared" si="1069"/>
        <v>1777032.8757713698</v>
      </c>
      <c r="CT282" s="166">
        <f t="shared" si="1069"/>
        <v>134</v>
      </c>
      <c r="CU282" s="166">
        <f t="shared" si="1069"/>
        <v>4703675.8298493596</v>
      </c>
      <c r="CV282" s="166">
        <f t="shared" si="1069"/>
        <v>104</v>
      </c>
      <c r="CW282" s="166">
        <v>4534118.8900000006</v>
      </c>
      <c r="CX282" s="166">
        <f t="shared" si="1069"/>
        <v>2</v>
      </c>
      <c r="CY282" s="166">
        <f t="shared" si="1069"/>
        <v>286263.51510758395</v>
      </c>
      <c r="CZ282" s="166">
        <f t="shared" si="1069"/>
        <v>0</v>
      </c>
      <c r="DA282" s="166">
        <v>0</v>
      </c>
      <c r="DB282" s="166">
        <f t="shared" si="1069"/>
        <v>0</v>
      </c>
      <c r="DC282" s="166">
        <f t="shared" si="1069"/>
        <v>0</v>
      </c>
      <c r="DD282" s="166">
        <f t="shared" si="1069"/>
        <v>0</v>
      </c>
      <c r="DE282" s="166">
        <f t="shared" si="1069"/>
        <v>0</v>
      </c>
      <c r="DF282" s="166">
        <f t="shared" si="1069"/>
        <v>0</v>
      </c>
      <c r="DG282" s="166">
        <f t="shared" si="1069"/>
        <v>0</v>
      </c>
      <c r="DH282" s="166">
        <f t="shared" si="1069"/>
        <v>0</v>
      </c>
      <c r="DI282" s="166">
        <f t="shared" si="1069"/>
        <v>0</v>
      </c>
      <c r="DJ282" s="166">
        <f t="shared" si="1069"/>
        <v>85</v>
      </c>
      <c r="DK282" s="166">
        <f t="shared" si="1069"/>
        <v>4320429.2584133241</v>
      </c>
      <c r="DL282" s="166">
        <f t="shared" si="1069"/>
        <v>12</v>
      </c>
      <c r="DM282" s="166">
        <f t="shared" si="1069"/>
        <v>637019.56999999995</v>
      </c>
      <c r="DN282" s="166">
        <f t="shared" si="1069"/>
        <v>43</v>
      </c>
      <c r="DO282" s="166">
        <f t="shared" si="1069"/>
        <v>2746364.5795</v>
      </c>
      <c r="DP282" s="166">
        <f t="shared" si="1069"/>
        <v>0</v>
      </c>
      <c r="DQ282" s="166">
        <f t="shared" si="1069"/>
        <v>0</v>
      </c>
      <c r="DR282" s="166">
        <f>SUM(DR283:DR294)</f>
        <v>3608</v>
      </c>
      <c r="DS282" s="166">
        <f t="shared" ref="DS282" si="1070">SUM(DS283:DS294)</f>
        <v>287682009.64453834</v>
      </c>
      <c r="DT282" s="166">
        <v>3593</v>
      </c>
      <c r="DU282" s="166">
        <v>280581288.87066871</v>
      </c>
      <c r="DV282" s="167">
        <f t="shared" si="1035"/>
        <v>15</v>
      </c>
      <c r="DW282" s="167">
        <f t="shared" si="1035"/>
        <v>7100720.7738696337</v>
      </c>
    </row>
    <row r="283" spans="1:127" ht="30" customHeight="1" x14ac:dyDescent="0.25">
      <c r="A283" s="154"/>
      <c r="B283" s="176">
        <v>243</v>
      </c>
      <c r="C283" s="177" t="s">
        <v>645</v>
      </c>
      <c r="D283" s="210" t="s">
        <v>646</v>
      </c>
      <c r="E283" s="158">
        <v>25969</v>
      </c>
      <c r="F283" s="179">
        <v>0.85</v>
      </c>
      <c r="G283" s="168">
        <v>1</v>
      </c>
      <c r="H283" s="169"/>
      <c r="I283" s="169"/>
      <c r="J283" s="169"/>
      <c r="K283" s="106"/>
      <c r="L283" s="180">
        <v>1.4</v>
      </c>
      <c r="M283" s="180">
        <v>1.68</v>
      </c>
      <c r="N283" s="180">
        <v>2.23</v>
      </c>
      <c r="O283" s="181">
        <v>2.57</v>
      </c>
      <c r="P283" s="182">
        <v>76</v>
      </c>
      <c r="Q283" s="182">
        <f t="shared" ref="Q283:Q294" si="1071">(P283*$E283*$F283*$G283*$L283*$Q$12)</f>
        <v>2583499.9960000003</v>
      </c>
      <c r="R283" s="182">
        <v>12</v>
      </c>
      <c r="S283" s="182">
        <f t="shared" ref="S283:S294" si="1072">(R283*$E283*$F283*$G283*$L283*$S$12)</f>
        <v>407921.05199999997</v>
      </c>
      <c r="T283" s="182"/>
      <c r="U283" s="182">
        <f t="shared" ref="U283:U294" si="1073">(T283/12*11*$E283*$F283*$G283*$L283*$U$12)+(T283/12*1*$E283*$F283*$G283*$L283*$U$14)</f>
        <v>0</v>
      </c>
      <c r="V283" s="182"/>
      <c r="W283" s="183">
        <f t="shared" ref="W283:W294" si="1074">(V283*$E283*$F283*$G283*$L283*$W$12)/12*10+(V283*$E283*$F283*$G283*$L283*$W$13)/12*1++(V283*$E283*$F283*$G283*$L283*$W$14)/12*1</f>
        <v>0</v>
      </c>
      <c r="X283" s="183"/>
      <c r="Y283" s="183">
        <v>0</v>
      </c>
      <c r="Z283" s="183"/>
      <c r="AA283" s="183">
        <v>0</v>
      </c>
      <c r="AB283" s="182">
        <f t="shared" ref="AB283:AC294" si="1075">X283+Z283</f>
        <v>0</v>
      </c>
      <c r="AC283" s="182">
        <f t="shared" si="1075"/>
        <v>0</v>
      </c>
      <c r="AD283" s="182"/>
      <c r="AE283" s="182">
        <f t="shared" ref="AE283:AE294" si="1076">(AD283*$E283*$F283*$G283*$L283*$AE$12)</f>
        <v>0</v>
      </c>
      <c r="AF283" s="182"/>
      <c r="AG283" s="182"/>
      <c r="AH283" s="182">
        <v>12</v>
      </c>
      <c r="AI283" s="182">
        <f t="shared" ref="AI283:AI294" si="1077">(AH283*$E283*$F283*$G283*$L283*$AI$12)</f>
        <v>407921.05199999997</v>
      </c>
      <c r="AJ283" s="182"/>
      <c r="AK283" s="182"/>
      <c r="AL283" s="182"/>
      <c r="AM283" s="182"/>
      <c r="AN283" s="184"/>
      <c r="AO283" s="182">
        <f t="shared" ref="AO283:AO294" si="1078">(AN283*$E283*$F283*$G283*$L283*$AO$12)</f>
        <v>0</v>
      </c>
      <c r="AP283" s="182">
        <v>17</v>
      </c>
      <c r="AQ283" s="183">
        <f t="shared" ref="AQ283:AQ294" si="1079">(AP283*$E283*$F283*$G283*$L283*$AQ$12)</f>
        <v>577888.15700000001</v>
      </c>
      <c r="AR283" s="182">
        <v>77</v>
      </c>
      <c r="AS283" s="182">
        <f t="shared" ref="AS283:AS285" si="1080">(AR283*$E283*$F283*$G283*$L283*$AS$12)/12*10+(AR283*$E283*$F283*$G283*$L283*$AS$13)/12*1+(AR283*$E283*$F283*$L283*$G283*$AS$14*$AS$15)/12*1</f>
        <v>2825663.4616338331</v>
      </c>
      <c r="AT283" s="182">
        <v>126</v>
      </c>
      <c r="AU283" s="182">
        <f t="shared" ref="AU283:AU294" si="1081">(AT283*$E283*$F283*$G283*$M283*$AU$12)/12*10+(AT283*$E283*$F283*$G283*$M283*$AU$13)/12+(AT283*$E283*$F283*$G283*$M283*$AU$14*$AU$15)/12</f>
        <v>5384644.5510816835</v>
      </c>
      <c r="AV283" s="188"/>
      <c r="AW283" s="182">
        <f t="shared" ref="AW283:AW294" si="1082">(AV283*$E283*$F283*$G283*$M283*$AW$12)</f>
        <v>0</v>
      </c>
      <c r="AX283" s="182">
        <v>11</v>
      </c>
      <c r="AY283" s="187">
        <f t="shared" ref="AY283:AY294" si="1083">(AX283*$E283*$F283*$G283*$M283*$AY$12)</f>
        <v>448713.15720000002</v>
      </c>
      <c r="AZ283" s="182"/>
      <c r="BA283" s="182">
        <f t="shared" ref="BA283:BA294" si="1084">(AZ283*$E283*$F283*$G283*$L283*$BA$12)</f>
        <v>0</v>
      </c>
      <c r="BB283" s="182"/>
      <c r="BC283" s="182">
        <f t="shared" ref="BC283:BC294" si="1085">(BB283*$E283*$F283*$G283*$L283*$BC$12)</f>
        <v>0</v>
      </c>
      <c r="BD283" s="182"/>
      <c r="BE283" s="182">
        <f t="shared" ref="BE283:BE294" si="1086">(BD283*$E283*$F283*$G283*$L283*$BE$12)</f>
        <v>0</v>
      </c>
      <c r="BF283" s="182"/>
      <c r="BG283" s="182">
        <f t="shared" ref="BG283:BG294" si="1087">(BF283*$E283*$F283*$G283*$L283*$BG$12)</f>
        <v>0</v>
      </c>
      <c r="BH283" s="182"/>
      <c r="BI283" s="183">
        <f t="shared" ref="BI283:BI294" si="1088">(BH283*$E283*$F283*$G283*$L283*$BI$12)</f>
        <v>0</v>
      </c>
      <c r="BJ283" s="182"/>
      <c r="BK283" s="183">
        <f t="shared" ref="BK283:BK294" si="1089">(BJ283*$E283*$F283*$G283*$L283*$BK$12)</f>
        <v>0</v>
      </c>
      <c r="BL283" s="182">
        <v>18</v>
      </c>
      <c r="BM283" s="182">
        <f t="shared" ref="BM283:BM286" si="1090">(BL283/12*11*$E283*$F283*$G283*$L283*$BM$12)+(BL283/12*$E283*$F283*$G283*$L283*$BM$12*$BM$15)</f>
        <v>776465.48485043983</v>
      </c>
      <c r="BN283" s="182">
        <v>77</v>
      </c>
      <c r="BO283" s="182">
        <f t="shared" ref="BO283:BO294" si="1091">(BN283*$E283*$F283*$G283*$M283*$BO$12)</f>
        <v>3140992.1004000003</v>
      </c>
      <c r="BP283" s="182"/>
      <c r="BQ283" s="182">
        <f t="shared" ref="BQ283:BQ294" si="1092">(BP283*$E283*$F283*$G283*$M283*$BQ$12)</f>
        <v>0</v>
      </c>
      <c r="BR283" s="182"/>
      <c r="BS283" s="183">
        <f t="shared" ref="BS283:BS294" si="1093">(BR283*$E283*$F283*$G283*$M283*$BS$12)</f>
        <v>0</v>
      </c>
      <c r="BT283" s="182">
        <v>44</v>
      </c>
      <c r="BU283" s="182">
        <f t="shared" ref="BU283:BU285" si="1094">(BT283*$E283*$F283*$G283*$M283*$BU$12)/12*10+(BT283*$E283*$F283*$G283*$M283*$BU$13)/12+(BT283*$E283*$F283*$G283*$M283*$BU$13*$BU$15)/12</f>
        <v>1817698.3832909437</v>
      </c>
      <c r="BV283" s="182">
        <v>5</v>
      </c>
      <c r="BW283" s="182">
        <f t="shared" ref="BW283:BW294" si="1095">(BV283*$E283*$F283*$G283*$M283*$BW$12)</f>
        <v>166876.79399999999</v>
      </c>
      <c r="BX283" s="182">
        <v>43</v>
      </c>
      <c r="BY283" s="183">
        <f t="shared" ref="BY283:BY285" si="1096">(BX283*$E283*$F283*$G283*$M283*$BY$12)/12*11+(BX283*$E283*$F283*$G283*$M283*$BY$12*$BY$15)/12</f>
        <v>2150605.7699716794</v>
      </c>
      <c r="BZ283" s="182">
        <v>15</v>
      </c>
      <c r="CA283" s="187">
        <f t="shared" ref="CA283:CA285" si="1097">(BZ283*$E283*$F283*$G283*$M283*$CA$12)/12*11+(BZ283*$E283*$F283*$G283*$M283*$CA$12*$CA$15)/12</f>
        <v>726984.84666149993</v>
      </c>
      <c r="CB283" s="182"/>
      <c r="CC283" s="182">
        <f t="shared" ref="CC283:CC294" si="1098">(CB283*$E283*$F283*$G283*$L283*$CC$12)</f>
        <v>0</v>
      </c>
      <c r="CD283" s="182"/>
      <c r="CE283" s="182">
        <f t="shared" ref="CE283:CE294" si="1099">(CD283*$E283*$F283*$G283*$L283*$CE$12)</f>
        <v>0</v>
      </c>
      <c r="CF283" s="182"/>
      <c r="CG283" s="182">
        <f t="shared" ref="CG283:CG294" si="1100">(CF283*$E283*$F283*$G283*$L283*$CG$12)</f>
        <v>0</v>
      </c>
      <c r="CH283" s="182">
        <v>80</v>
      </c>
      <c r="CI283" s="182">
        <f t="shared" ref="CI283:CI285" si="1101">(CH283*$E283*$F283*$G283*$M283*$CI$12)/12*11+(CH283*$E283*$F283*$G283*$M283*$CI$12*$CI$15)/12</f>
        <v>3306192.7097136001</v>
      </c>
      <c r="CJ283" s="182"/>
      <c r="CK283" s="182"/>
      <c r="CL283" s="182">
        <v>12</v>
      </c>
      <c r="CM283" s="183">
        <f t="shared" ref="CM283:CM294" si="1102">(CL283*$E283*$F283*$G283*$L283*$CM$12)</f>
        <v>296669.85599999997</v>
      </c>
      <c r="CN283" s="182">
        <v>15</v>
      </c>
      <c r="CO283" s="183">
        <f t="shared" ref="CO283:CO294" si="1103">(CN283*$E283*$F283*$G283*$L283*$CO$12)</f>
        <v>370837.32</v>
      </c>
      <c r="CP283" s="182">
        <v>50</v>
      </c>
      <c r="CQ283" s="182">
        <f t="shared" ref="CQ283:CQ285" si="1104">(CP283*$E283*$F283*$G283*$L283*$CQ$12)/12*11+(CP283*$E283*$F283*$G283*$L283*$CQ$12*$CQ$15)/12</f>
        <v>1712526.74376</v>
      </c>
      <c r="CR283" s="182">
        <v>18</v>
      </c>
      <c r="CS283" s="182">
        <f t="shared" ref="CS283:CS285" si="1105">(CR283*$E283*$F283*$G283*$L283*$CS$12)/12*10+(CR283*$E283*$F283*$G283*$L283*$CS$13)/12+(CR283*$E283*$F283*$G283*$L283*$CS$13*$CS$15)/12</f>
        <v>666877.67964929994</v>
      </c>
      <c r="CT283" s="182">
        <f>100-10</f>
        <v>90</v>
      </c>
      <c r="CU283" s="182">
        <f t="shared" ref="CU283:CU285" si="1106">(CT283*$E283*$F283*$G283*$L283*$CU$12)/12*11+(CT283*$E283*$F283*$G283*$L283*$CU$12*$CU$15)/12</f>
        <v>2919759.8262209995</v>
      </c>
      <c r="CV283" s="182">
        <v>49</v>
      </c>
      <c r="CW283" s="182">
        <v>1789289.9799999995</v>
      </c>
      <c r="CX283" s="182"/>
      <c r="CY283" s="182">
        <f t="shared" ref="CY283:CY294" si="1107">(CX283*$E283*$F283*$G283*$M283*$CY$12)</f>
        <v>0</v>
      </c>
      <c r="CZ283" s="182"/>
      <c r="DA283" s="182">
        <v>0</v>
      </c>
      <c r="DB283" s="188"/>
      <c r="DC283" s="182">
        <f t="shared" ref="DC283:DC294" si="1108">(DB283*$E283*$F283*$G283*$M283*$DC$12)</f>
        <v>0</v>
      </c>
      <c r="DD283" s="182"/>
      <c r="DE283" s="187">
        <f t="shared" ref="DE283:DE294" si="1109">(DD283*$E283*$F283*$G283*$M283*DE$12)</f>
        <v>0</v>
      </c>
      <c r="DF283" s="182"/>
      <c r="DG283" s="182">
        <f t="shared" ref="DG283:DG294" si="1110">(DF283*$E283*$F283*$G283*$M283*$DG$12)</f>
        <v>0</v>
      </c>
      <c r="DH283" s="189"/>
      <c r="DI283" s="182">
        <f t="shared" ref="DI283:DI294" si="1111">(DH283*$E283*$F283*$G283*$M283*$DI$12)</f>
        <v>0</v>
      </c>
      <c r="DJ283" s="182">
        <v>30</v>
      </c>
      <c r="DK283" s="182">
        <f t="shared" ref="DK283:DK286" si="1112">(DJ283/12*11*$E283*$F283*$G283*$M283*$DK$12)+(DJ283/12*1*$E283*$F283*$M283*$G283*$DK$12*$DK$15)</f>
        <v>1212295.0118789999</v>
      </c>
      <c r="DL283" s="182">
        <f>ROUND(10*0.75,0)</f>
        <v>8</v>
      </c>
      <c r="DM283" s="182">
        <f t="shared" ref="DM283:DM294" si="1113">(DL283*$E283*$F283*$G283*$N283*$DM$12)</f>
        <v>393793.91599999997</v>
      </c>
      <c r="DN283" s="182">
        <f>ROUND(26*0.75,0)</f>
        <v>20</v>
      </c>
      <c r="DO283" s="190">
        <f t="shared" ref="DO283:DO294" si="1114">(DN283*$E283*$F283*$G283*$O283*$DO$12)</f>
        <v>1134585.6099999999</v>
      </c>
      <c r="DP283" s="187"/>
      <c r="DQ283" s="187"/>
      <c r="DR283" s="183">
        <f t="shared" ref="DR283:DS294" si="1115">SUM(P283,R283,T283,V283,AB283,AJ283,AD283,AF283,AH283,AL283,AN283,AP283,AV283,AZ283,BB283,CF283,AR283,BF283,BH283,BJ283,CT283,BL283,BN283,AT283,BR283,AX283,CV283,BT283,CX283,BV283,BX283,BZ283,CH283,CB283,CD283,CJ283,CL283,CN283,CP283,CR283,CZ283,DB283,BP283,BD283,DD283,DF283,DH283,DJ283,DL283,DN283,DP283)</f>
        <v>905</v>
      </c>
      <c r="DS283" s="183">
        <f t="shared" si="1115"/>
        <v>35218703.459312983</v>
      </c>
      <c r="DT283" s="182">
        <v>905</v>
      </c>
      <c r="DU283" s="182">
        <v>33607301.267316669</v>
      </c>
      <c r="DV283" s="167">
        <f t="shared" si="1035"/>
        <v>0</v>
      </c>
      <c r="DW283" s="167">
        <f t="shared" si="1035"/>
        <v>1611402.1919963136</v>
      </c>
    </row>
    <row r="284" spans="1:127" ht="15.75" customHeight="1" x14ac:dyDescent="0.25">
      <c r="A284" s="154"/>
      <c r="B284" s="176">
        <v>244</v>
      </c>
      <c r="C284" s="177" t="s">
        <v>647</v>
      </c>
      <c r="D284" s="210" t="s">
        <v>648</v>
      </c>
      <c r="E284" s="158">
        <v>25969</v>
      </c>
      <c r="F284" s="179">
        <v>1.32</v>
      </c>
      <c r="G284" s="168">
        <v>1</v>
      </c>
      <c r="H284" s="169"/>
      <c r="I284" s="169"/>
      <c r="J284" s="169"/>
      <c r="K284" s="106"/>
      <c r="L284" s="180">
        <v>1.4</v>
      </c>
      <c r="M284" s="180">
        <v>1.68</v>
      </c>
      <c r="N284" s="180">
        <v>2.23</v>
      </c>
      <c r="O284" s="181">
        <v>2.57</v>
      </c>
      <c r="P284" s="182">
        <v>42</v>
      </c>
      <c r="Q284" s="182">
        <f t="shared" si="1071"/>
        <v>2217170.8944000001</v>
      </c>
      <c r="R284" s="182"/>
      <c r="S284" s="182">
        <f t="shared" si="1072"/>
        <v>0</v>
      </c>
      <c r="T284" s="182"/>
      <c r="U284" s="182">
        <f t="shared" si="1073"/>
        <v>0</v>
      </c>
      <c r="V284" s="182"/>
      <c r="W284" s="183">
        <f t="shared" si="1074"/>
        <v>0</v>
      </c>
      <c r="X284" s="183"/>
      <c r="Y284" s="183">
        <v>0</v>
      </c>
      <c r="Z284" s="183"/>
      <c r="AA284" s="183">
        <v>0</v>
      </c>
      <c r="AB284" s="182">
        <f t="shared" si="1075"/>
        <v>0</v>
      </c>
      <c r="AC284" s="182">
        <f t="shared" si="1075"/>
        <v>0</v>
      </c>
      <c r="AD284" s="182"/>
      <c r="AE284" s="182">
        <f t="shared" si="1076"/>
        <v>0</v>
      </c>
      <c r="AF284" s="182"/>
      <c r="AG284" s="182"/>
      <c r="AH284" s="182"/>
      <c r="AI284" s="182">
        <f t="shared" si="1077"/>
        <v>0</v>
      </c>
      <c r="AJ284" s="182"/>
      <c r="AK284" s="182"/>
      <c r="AL284" s="182"/>
      <c r="AM284" s="182"/>
      <c r="AN284" s="184"/>
      <c r="AO284" s="182">
        <f t="shared" si="1078"/>
        <v>0</v>
      </c>
      <c r="AP284" s="182">
        <v>1</v>
      </c>
      <c r="AQ284" s="183">
        <f t="shared" si="1079"/>
        <v>52789.783200000005</v>
      </c>
      <c r="AR284" s="182">
        <v>1</v>
      </c>
      <c r="AS284" s="182">
        <f t="shared" si="1080"/>
        <v>56988.1706548</v>
      </c>
      <c r="AT284" s="182">
        <v>2</v>
      </c>
      <c r="AU284" s="182">
        <f t="shared" si="1081"/>
        <v>132730.73403226564</v>
      </c>
      <c r="AV284" s="188"/>
      <c r="AW284" s="182">
        <f t="shared" si="1082"/>
        <v>0</v>
      </c>
      <c r="AX284" s="182"/>
      <c r="AY284" s="187">
        <f t="shared" si="1083"/>
        <v>0</v>
      </c>
      <c r="AZ284" s="182"/>
      <c r="BA284" s="182">
        <f t="shared" si="1084"/>
        <v>0</v>
      </c>
      <c r="BB284" s="182">
        <v>0</v>
      </c>
      <c r="BC284" s="182">
        <f t="shared" si="1085"/>
        <v>0</v>
      </c>
      <c r="BD284" s="182"/>
      <c r="BE284" s="182">
        <f t="shared" si="1086"/>
        <v>0</v>
      </c>
      <c r="BF284" s="182"/>
      <c r="BG284" s="182">
        <f t="shared" si="1087"/>
        <v>0</v>
      </c>
      <c r="BH284" s="182"/>
      <c r="BI284" s="183">
        <f t="shared" si="1088"/>
        <v>0</v>
      </c>
      <c r="BJ284" s="182"/>
      <c r="BK284" s="183">
        <f t="shared" si="1089"/>
        <v>0</v>
      </c>
      <c r="BL284" s="182"/>
      <c r="BM284" s="182">
        <f t="shared" si="1090"/>
        <v>0</v>
      </c>
      <c r="BN284" s="182"/>
      <c r="BO284" s="182">
        <f t="shared" si="1091"/>
        <v>0</v>
      </c>
      <c r="BP284" s="182"/>
      <c r="BQ284" s="182">
        <f t="shared" si="1092"/>
        <v>0</v>
      </c>
      <c r="BR284" s="182"/>
      <c r="BS284" s="183">
        <f t="shared" si="1093"/>
        <v>0</v>
      </c>
      <c r="BT284" s="182"/>
      <c r="BU284" s="182">
        <f t="shared" si="1094"/>
        <v>0</v>
      </c>
      <c r="BV284" s="182"/>
      <c r="BW284" s="182">
        <f t="shared" si="1095"/>
        <v>0</v>
      </c>
      <c r="BX284" s="182">
        <v>2</v>
      </c>
      <c r="BY284" s="183">
        <f t="shared" si="1096"/>
        <v>155337.87230438401</v>
      </c>
      <c r="BZ284" s="182"/>
      <c r="CA284" s="187">
        <f t="shared" si="1097"/>
        <v>0</v>
      </c>
      <c r="CB284" s="182"/>
      <c r="CC284" s="182">
        <f t="shared" si="1098"/>
        <v>0</v>
      </c>
      <c r="CD284" s="182"/>
      <c r="CE284" s="182">
        <f t="shared" si="1099"/>
        <v>0</v>
      </c>
      <c r="CF284" s="182"/>
      <c r="CG284" s="182">
        <f t="shared" si="1100"/>
        <v>0</v>
      </c>
      <c r="CH284" s="182">
        <v>2</v>
      </c>
      <c r="CI284" s="182">
        <f t="shared" si="1101"/>
        <v>128358.06990652801</v>
      </c>
      <c r="CJ284" s="182"/>
      <c r="CK284" s="182"/>
      <c r="CL284" s="182"/>
      <c r="CM284" s="183">
        <f t="shared" si="1102"/>
        <v>0</v>
      </c>
      <c r="CN284" s="182">
        <v>2</v>
      </c>
      <c r="CO284" s="183">
        <f t="shared" si="1103"/>
        <v>76785.139200000005</v>
      </c>
      <c r="CP284" s="182"/>
      <c r="CQ284" s="182">
        <f t="shared" si="1104"/>
        <v>0</v>
      </c>
      <c r="CR284" s="182">
        <v>1</v>
      </c>
      <c r="CS284" s="182">
        <f t="shared" si="1105"/>
        <v>57534.544910919998</v>
      </c>
      <c r="CT284" s="182">
        <v>2</v>
      </c>
      <c r="CU284" s="182">
        <f t="shared" si="1106"/>
        <v>100760.33910096</v>
      </c>
      <c r="CV284" s="182">
        <v>6</v>
      </c>
      <c r="CW284" s="182">
        <v>345533.1</v>
      </c>
      <c r="CX284" s="182"/>
      <c r="CY284" s="182">
        <f t="shared" si="1107"/>
        <v>0</v>
      </c>
      <c r="CZ284" s="182"/>
      <c r="DA284" s="182">
        <v>0</v>
      </c>
      <c r="DB284" s="188"/>
      <c r="DC284" s="182">
        <f t="shared" si="1108"/>
        <v>0</v>
      </c>
      <c r="DD284" s="182"/>
      <c r="DE284" s="187">
        <f t="shared" si="1109"/>
        <v>0</v>
      </c>
      <c r="DF284" s="182"/>
      <c r="DG284" s="182">
        <f t="shared" si="1110"/>
        <v>0</v>
      </c>
      <c r="DH284" s="189"/>
      <c r="DI284" s="182">
        <f t="shared" si="1111"/>
        <v>0</v>
      </c>
      <c r="DJ284" s="182"/>
      <c r="DK284" s="182">
        <f t="shared" si="1112"/>
        <v>0</v>
      </c>
      <c r="DL284" s="182"/>
      <c r="DM284" s="182">
        <f t="shared" si="1113"/>
        <v>0</v>
      </c>
      <c r="DN284" s="182"/>
      <c r="DO284" s="190">
        <f t="shared" si="1114"/>
        <v>0</v>
      </c>
      <c r="DP284" s="187"/>
      <c r="DQ284" s="187"/>
      <c r="DR284" s="183">
        <f t="shared" si="1115"/>
        <v>61</v>
      </c>
      <c r="DS284" s="183">
        <f t="shared" si="1115"/>
        <v>3323988.6477098581</v>
      </c>
      <c r="DT284" s="182">
        <v>63</v>
      </c>
      <c r="DU284" s="182">
        <v>3390783.7299600006</v>
      </c>
      <c r="DV284" s="167">
        <f t="shared" si="1035"/>
        <v>-2</v>
      </c>
      <c r="DW284" s="167">
        <f t="shared" si="1035"/>
        <v>-66795.08225014247</v>
      </c>
    </row>
    <row r="285" spans="1:127" ht="15.75" customHeight="1" x14ac:dyDescent="0.25">
      <c r="A285" s="154"/>
      <c r="B285" s="176">
        <v>245</v>
      </c>
      <c r="C285" s="177" t="s">
        <v>649</v>
      </c>
      <c r="D285" s="210" t="s">
        <v>650</v>
      </c>
      <c r="E285" s="158">
        <v>25969</v>
      </c>
      <c r="F285" s="179">
        <v>1.05</v>
      </c>
      <c r="G285" s="168">
        <v>1</v>
      </c>
      <c r="H285" s="169"/>
      <c r="I285" s="169"/>
      <c r="J285" s="169"/>
      <c r="K285" s="106"/>
      <c r="L285" s="180">
        <v>1.4</v>
      </c>
      <c r="M285" s="180">
        <v>1.68</v>
      </c>
      <c r="N285" s="180">
        <v>2.23</v>
      </c>
      <c r="O285" s="181">
        <v>2.57</v>
      </c>
      <c r="P285" s="182">
        <v>171</v>
      </c>
      <c r="Q285" s="182">
        <f t="shared" si="1071"/>
        <v>7180610.2830000008</v>
      </c>
      <c r="R285" s="182">
        <v>38</v>
      </c>
      <c r="S285" s="182">
        <f t="shared" si="1072"/>
        <v>1595691.1740000001</v>
      </c>
      <c r="T285" s="182"/>
      <c r="U285" s="182">
        <f t="shared" si="1073"/>
        <v>0</v>
      </c>
      <c r="V285" s="182"/>
      <c r="W285" s="183">
        <f t="shared" si="1074"/>
        <v>0</v>
      </c>
      <c r="X285" s="183"/>
      <c r="Y285" s="183">
        <v>0</v>
      </c>
      <c r="Z285" s="183"/>
      <c r="AA285" s="183">
        <v>0</v>
      </c>
      <c r="AB285" s="182">
        <f t="shared" si="1075"/>
        <v>0</v>
      </c>
      <c r="AC285" s="182">
        <f t="shared" si="1075"/>
        <v>0</v>
      </c>
      <c r="AD285" s="182"/>
      <c r="AE285" s="182">
        <f t="shared" si="1076"/>
        <v>0</v>
      </c>
      <c r="AF285" s="182"/>
      <c r="AG285" s="182"/>
      <c r="AH285" s="182">
        <v>12</v>
      </c>
      <c r="AI285" s="182">
        <f t="shared" si="1077"/>
        <v>503902.47600000008</v>
      </c>
      <c r="AJ285" s="182"/>
      <c r="AK285" s="182"/>
      <c r="AL285" s="182"/>
      <c r="AM285" s="182"/>
      <c r="AN285" s="182"/>
      <c r="AO285" s="182">
        <f t="shared" si="1078"/>
        <v>0</v>
      </c>
      <c r="AP285" s="182">
        <v>38</v>
      </c>
      <c r="AQ285" s="183">
        <f t="shared" si="1079"/>
        <v>1595691.1740000001</v>
      </c>
      <c r="AR285" s="182">
        <v>268</v>
      </c>
      <c r="AS285" s="182">
        <f t="shared" si="1080"/>
        <v>12148841.835046001</v>
      </c>
      <c r="AT285" s="182">
        <f>150-6</f>
        <v>144</v>
      </c>
      <c r="AU285" s="182">
        <f t="shared" si="1081"/>
        <v>7601851.1309388494</v>
      </c>
      <c r="AV285" s="188"/>
      <c r="AW285" s="182">
        <f t="shared" si="1082"/>
        <v>0</v>
      </c>
      <c r="AX285" s="182">
        <v>5</v>
      </c>
      <c r="AY285" s="187">
        <f t="shared" si="1083"/>
        <v>251951.23800000001</v>
      </c>
      <c r="AZ285" s="182"/>
      <c r="BA285" s="182">
        <f t="shared" si="1084"/>
        <v>0</v>
      </c>
      <c r="BB285" s="182"/>
      <c r="BC285" s="182">
        <f t="shared" si="1085"/>
        <v>0</v>
      </c>
      <c r="BD285" s="182"/>
      <c r="BE285" s="182">
        <f t="shared" si="1086"/>
        <v>0</v>
      </c>
      <c r="BF285" s="182"/>
      <c r="BG285" s="182">
        <f t="shared" si="1087"/>
        <v>0</v>
      </c>
      <c r="BH285" s="182"/>
      <c r="BI285" s="183">
        <f t="shared" si="1088"/>
        <v>0</v>
      </c>
      <c r="BJ285" s="182"/>
      <c r="BK285" s="183">
        <f t="shared" si="1089"/>
        <v>0</v>
      </c>
      <c r="BL285" s="182">
        <v>21</v>
      </c>
      <c r="BM285" s="182">
        <f t="shared" si="1090"/>
        <v>1119023.7869903399</v>
      </c>
      <c r="BN285" s="182">
        <v>69</v>
      </c>
      <c r="BO285" s="182">
        <f t="shared" si="1091"/>
        <v>3476927.0844000005</v>
      </c>
      <c r="BP285" s="182"/>
      <c r="BQ285" s="182">
        <f t="shared" si="1092"/>
        <v>0</v>
      </c>
      <c r="BR285" s="182"/>
      <c r="BS285" s="183">
        <f t="shared" si="1093"/>
        <v>0</v>
      </c>
      <c r="BT285" s="182">
        <v>36</v>
      </c>
      <c r="BU285" s="182">
        <f t="shared" si="1094"/>
        <v>1837139.0077111679</v>
      </c>
      <c r="BV285" s="182">
        <v>20</v>
      </c>
      <c r="BW285" s="182">
        <f t="shared" si="1095"/>
        <v>824567.68799999997</v>
      </c>
      <c r="BX285" s="182">
        <v>38</v>
      </c>
      <c r="BY285" s="183">
        <f t="shared" si="1096"/>
        <v>2347720.1155094402</v>
      </c>
      <c r="BZ285" s="182">
        <v>59</v>
      </c>
      <c r="CA285" s="187">
        <f t="shared" si="1097"/>
        <v>3532291.0784846996</v>
      </c>
      <c r="CB285" s="182"/>
      <c r="CC285" s="182">
        <f t="shared" si="1098"/>
        <v>0</v>
      </c>
      <c r="CD285" s="182"/>
      <c r="CE285" s="182">
        <f t="shared" si="1099"/>
        <v>0</v>
      </c>
      <c r="CF285" s="182"/>
      <c r="CG285" s="182">
        <f t="shared" si="1100"/>
        <v>0</v>
      </c>
      <c r="CH285" s="182">
        <v>65</v>
      </c>
      <c r="CI285" s="182">
        <f t="shared" si="1101"/>
        <v>3318347.8299699002</v>
      </c>
      <c r="CJ285" s="182"/>
      <c r="CK285" s="182"/>
      <c r="CL285" s="182">
        <v>15</v>
      </c>
      <c r="CM285" s="183">
        <f t="shared" si="1102"/>
        <v>458093.16</v>
      </c>
      <c r="CN285" s="182">
        <v>30</v>
      </c>
      <c r="CO285" s="183">
        <f t="shared" si="1103"/>
        <v>916186.32</v>
      </c>
      <c r="CP285" s="182">
        <v>10</v>
      </c>
      <c r="CQ285" s="182">
        <f t="shared" si="1104"/>
        <v>423094.84257599997</v>
      </c>
      <c r="CR285" s="182">
        <v>23</v>
      </c>
      <c r="CS285" s="182">
        <f t="shared" si="1105"/>
        <v>1052620.6512111498</v>
      </c>
      <c r="CT285" s="182">
        <f>50-8</f>
        <v>42</v>
      </c>
      <c r="CU285" s="182">
        <f t="shared" si="1106"/>
        <v>1683155.6645274002</v>
      </c>
      <c r="CV285" s="182">
        <v>45</v>
      </c>
      <c r="CW285" s="182">
        <v>2027062.4100000006</v>
      </c>
      <c r="CX285" s="182"/>
      <c r="CY285" s="182">
        <f t="shared" si="1107"/>
        <v>0</v>
      </c>
      <c r="CZ285" s="182"/>
      <c r="DA285" s="182">
        <v>0</v>
      </c>
      <c r="DB285" s="188"/>
      <c r="DC285" s="182">
        <f t="shared" si="1108"/>
        <v>0</v>
      </c>
      <c r="DD285" s="182"/>
      <c r="DE285" s="187">
        <f t="shared" si="1109"/>
        <v>0</v>
      </c>
      <c r="DF285" s="182"/>
      <c r="DG285" s="182">
        <f t="shared" si="1110"/>
        <v>0</v>
      </c>
      <c r="DH285" s="189"/>
      <c r="DI285" s="182">
        <f t="shared" si="1111"/>
        <v>0</v>
      </c>
      <c r="DJ285" s="182">
        <v>53</v>
      </c>
      <c r="DK285" s="182">
        <f t="shared" si="1112"/>
        <v>2645655.5847477005</v>
      </c>
      <c r="DL285" s="182">
        <f>ROUND(5*0.75,0)</f>
        <v>4</v>
      </c>
      <c r="DM285" s="182">
        <f t="shared" si="1113"/>
        <v>243225.65400000001</v>
      </c>
      <c r="DN285" s="182">
        <f>ROUND(30*0.75,0)</f>
        <v>23</v>
      </c>
      <c r="DO285" s="190">
        <f t="shared" si="1114"/>
        <v>1611778.9694999999</v>
      </c>
      <c r="DP285" s="187"/>
      <c r="DQ285" s="187"/>
      <c r="DR285" s="183">
        <f t="shared" si="1115"/>
        <v>1229</v>
      </c>
      <c r="DS285" s="183">
        <f t="shared" si="1115"/>
        <v>58395429.158612646</v>
      </c>
      <c r="DT285" s="182">
        <v>1236</v>
      </c>
      <c r="DU285" s="182">
        <v>56392267.979500011</v>
      </c>
      <c r="DV285" s="167">
        <f t="shared" si="1035"/>
        <v>-7</v>
      </c>
      <c r="DW285" s="167">
        <f t="shared" si="1035"/>
        <v>2003161.1791126356</v>
      </c>
    </row>
    <row r="286" spans="1:127" ht="30" customHeight="1" x14ac:dyDescent="0.25">
      <c r="A286" s="154"/>
      <c r="B286" s="176">
        <v>246</v>
      </c>
      <c r="C286" s="177" t="s">
        <v>651</v>
      </c>
      <c r="D286" s="210" t="s">
        <v>652</v>
      </c>
      <c r="E286" s="158">
        <v>25969</v>
      </c>
      <c r="F286" s="179">
        <v>1.01</v>
      </c>
      <c r="G286" s="168">
        <v>1</v>
      </c>
      <c r="H286" s="242"/>
      <c r="I286" s="242"/>
      <c r="J286" s="242"/>
      <c r="K286" s="106"/>
      <c r="L286" s="180">
        <v>1.4</v>
      </c>
      <c r="M286" s="180">
        <v>1.68</v>
      </c>
      <c r="N286" s="180">
        <v>2.23</v>
      </c>
      <c r="O286" s="181">
        <v>2.57</v>
      </c>
      <c r="P286" s="182">
        <v>75</v>
      </c>
      <c r="Q286" s="182">
        <f t="shared" si="1071"/>
        <v>3029413.6949999998</v>
      </c>
      <c r="R286" s="182">
        <v>59</v>
      </c>
      <c r="S286" s="182">
        <f t="shared" si="1072"/>
        <v>2383138.7733999998</v>
      </c>
      <c r="T286" s="182"/>
      <c r="U286" s="182">
        <f t="shared" si="1073"/>
        <v>0</v>
      </c>
      <c r="V286" s="182"/>
      <c r="W286" s="183">
        <f t="shared" si="1074"/>
        <v>0</v>
      </c>
      <c r="X286" s="183"/>
      <c r="Y286" s="183">
        <v>0</v>
      </c>
      <c r="Z286" s="183"/>
      <c r="AA286" s="183">
        <v>0</v>
      </c>
      <c r="AB286" s="182">
        <f t="shared" si="1075"/>
        <v>0</v>
      </c>
      <c r="AC286" s="182">
        <f t="shared" si="1075"/>
        <v>0</v>
      </c>
      <c r="AD286" s="182"/>
      <c r="AE286" s="182">
        <f t="shared" si="1076"/>
        <v>0</v>
      </c>
      <c r="AF286" s="182"/>
      <c r="AG286" s="182"/>
      <c r="AH286" s="182">
        <v>30</v>
      </c>
      <c r="AI286" s="182">
        <f t="shared" si="1077"/>
        <v>1211765.4780000001</v>
      </c>
      <c r="AJ286" s="182"/>
      <c r="AK286" s="182"/>
      <c r="AL286" s="182"/>
      <c r="AM286" s="182"/>
      <c r="AN286" s="184"/>
      <c r="AO286" s="182">
        <f t="shared" si="1078"/>
        <v>0</v>
      </c>
      <c r="AP286" s="182"/>
      <c r="AQ286" s="183">
        <f t="shared" si="1079"/>
        <v>0</v>
      </c>
      <c r="AR286" s="182"/>
      <c r="AS286" s="182">
        <f t="shared" ref="AS286:AS294" si="1116">(AR286*$E286*$F286*$G286*$L286*$AS$12)/12*10+(AR286*$E286*$F286*$G286*$L286*$AS$13)/12*1+(AR286*$E286*$F286*$G286*$L286*$AS$14)/12*1</f>
        <v>0</v>
      </c>
      <c r="AT286" s="182">
        <v>4</v>
      </c>
      <c r="AU286" s="182">
        <f t="shared" si="1081"/>
        <v>203118.2445039216</v>
      </c>
      <c r="AV286" s="188"/>
      <c r="AW286" s="182">
        <f t="shared" si="1082"/>
        <v>0</v>
      </c>
      <c r="AX286" s="182"/>
      <c r="AY286" s="187">
        <f t="shared" si="1083"/>
        <v>0</v>
      </c>
      <c r="AZ286" s="182"/>
      <c r="BA286" s="182">
        <f t="shared" si="1084"/>
        <v>0</v>
      </c>
      <c r="BB286" s="182">
        <v>0</v>
      </c>
      <c r="BC286" s="182">
        <f t="shared" si="1085"/>
        <v>0</v>
      </c>
      <c r="BD286" s="182"/>
      <c r="BE286" s="182">
        <f t="shared" si="1086"/>
        <v>0</v>
      </c>
      <c r="BF286" s="182"/>
      <c r="BG286" s="182">
        <f t="shared" si="1087"/>
        <v>0</v>
      </c>
      <c r="BH286" s="182"/>
      <c r="BI286" s="183">
        <f t="shared" si="1088"/>
        <v>0</v>
      </c>
      <c r="BJ286" s="182"/>
      <c r="BK286" s="183">
        <f t="shared" si="1089"/>
        <v>0</v>
      </c>
      <c r="BL286" s="182"/>
      <c r="BM286" s="182">
        <f t="shared" si="1090"/>
        <v>0</v>
      </c>
      <c r="BN286" s="182"/>
      <c r="BO286" s="182">
        <f t="shared" si="1091"/>
        <v>0</v>
      </c>
      <c r="BP286" s="182"/>
      <c r="BQ286" s="182">
        <f t="shared" si="1092"/>
        <v>0</v>
      </c>
      <c r="BR286" s="182"/>
      <c r="BS286" s="183">
        <f t="shared" si="1093"/>
        <v>0</v>
      </c>
      <c r="BT286" s="182"/>
      <c r="BU286" s="182">
        <f t="shared" ref="BU286:BU294" si="1117">(BT286*$E286*$F286*$G286*$M286*$BU$12)</f>
        <v>0</v>
      </c>
      <c r="BV286" s="182"/>
      <c r="BW286" s="182">
        <f t="shared" si="1095"/>
        <v>0</v>
      </c>
      <c r="BX286" s="182"/>
      <c r="BY286" s="183">
        <f t="shared" ref="BY286:BY294" si="1118">(BX286*$E286*$F286*$G286*$M286*$BY$12)</f>
        <v>0</v>
      </c>
      <c r="BZ286" s="182"/>
      <c r="CA286" s="187">
        <f t="shared" ref="CA286:CA293" si="1119">(BZ286*$E286*$F286*$G286*$M286*$CA$12)</f>
        <v>0</v>
      </c>
      <c r="CB286" s="182"/>
      <c r="CC286" s="182">
        <f t="shared" si="1098"/>
        <v>0</v>
      </c>
      <c r="CD286" s="182"/>
      <c r="CE286" s="182">
        <f t="shared" si="1099"/>
        <v>0</v>
      </c>
      <c r="CF286" s="182"/>
      <c r="CG286" s="182">
        <f t="shared" si="1100"/>
        <v>0</v>
      </c>
      <c r="CH286" s="182"/>
      <c r="CI286" s="182">
        <f t="shared" ref="CI286:CI294" si="1120">(CH286*$E286*$F286*$G286*$M286*$CI$12)</f>
        <v>0</v>
      </c>
      <c r="CJ286" s="182"/>
      <c r="CK286" s="182"/>
      <c r="CL286" s="182"/>
      <c r="CM286" s="183">
        <f t="shared" si="1102"/>
        <v>0</v>
      </c>
      <c r="CN286" s="182"/>
      <c r="CO286" s="183">
        <f t="shared" si="1103"/>
        <v>0</v>
      </c>
      <c r="CP286" s="182"/>
      <c r="CQ286" s="182">
        <f t="shared" ref="CQ286:CQ294" si="1121">(CP286*$E286*$F286*$G286*$L286*$CQ$12)</f>
        <v>0</v>
      </c>
      <c r="CR286" s="182"/>
      <c r="CS286" s="182">
        <f t="shared" ref="CS286:CS294" si="1122">(CR286*$E286*$F286*$G286*$L286*$CS$12)</f>
        <v>0</v>
      </c>
      <c r="CT286" s="182"/>
      <c r="CU286" s="182">
        <f t="shared" ref="CU286:CU294" si="1123">(CT286*$E286*$F286*$G286*$L286*$CU$12)</f>
        <v>0</v>
      </c>
      <c r="CV286" s="182"/>
      <c r="CW286" s="182">
        <v>0</v>
      </c>
      <c r="CX286" s="182"/>
      <c r="CY286" s="182">
        <f t="shared" si="1107"/>
        <v>0</v>
      </c>
      <c r="CZ286" s="182"/>
      <c r="DA286" s="182">
        <v>0</v>
      </c>
      <c r="DB286" s="188"/>
      <c r="DC286" s="182">
        <f t="shared" si="1108"/>
        <v>0</v>
      </c>
      <c r="DD286" s="182"/>
      <c r="DE286" s="187">
        <f t="shared" si="1109"/>
        <v>0</v>
      </c>
      <c r="DF286" s="182"/>
      <c r="DG286" s="182">
        <f t="shared" si="1110"/>
        <v>0</v>
      </c>
      <c r="DH286" s="189"/>
      <c r="DI286" s="182">
        <f t="shared" si="1111"/>
        <v>0</v>
      </c>
      <c r="DJ286" s="182"/>
      <c r="DK286" s="182">
        <f t="shared" si="1112"/>
        <v>0</v>
      </c>
      <c r="DL286" s="182"/>
      <c r="DM286" s="182">
        <f t="shared" si="1113"/>
        <v>0</v>
      </c>
      <c r="DN286" s="182"/>
      <c r="DO286" s="190">
        <f t="shared" si="1114"/>
        <v>0</v>
      </c>
      <c r="DP286" s="187"/>
      <c r="DQ286" s="187"/>
      <c r="DR286" s="183">
        <f t="shared" si="1115"/>
        <v>168</v>
      </c>
      <c r="DS286" s="183">
        <f t="shared" si="1115"/>
        <v>6827436.1909039216</v>
      </c>
      <c r="DT286" s="182">
        <v>156</v>
      </c>
      <c r="DU286" s="182">
        <v>6337900.6516000004</v>
      </c>
      <c r="DV286" s="167">
        <f t="shared" si="1035"/>
        <v>12</v>
      </c>
      <c r="DW286" s="167">
        <f t="shared" si="1035"/>
        <v>489535.53930392116</v>
      </c>
    </row>
    <row r="287" spans="1:127" ht="30" customHeight="1" x14ac:dyDescent="0.25">
      <c r="A287" s="154"/>
      <c r="B287" s="176">
        <v>247</v>
      </c>
      <c r="C287" s="177" t="s">
        <v>653</v>
      </c>
      <c r="D287" s="210" t="s">
        <v>654</v>
      </c>
      <c r="E287" s="158">
        <v>25969</v>
      </c>
      <c r="F287" s="179">
        <v>2.11</v>
      </c>
      <c r="G287" s="168">
        <v>1</v>
      </c>
      <c r="H287" s="169"/>
      <c r="I287" s="169"/>
      <c r="J287" s="169"/>
      <c r="K287" s="106"/>
      <c r="L287" s="180">
        <v>1.4</v>
      </c>
      <c r="M287" s="180">
        <v>1.68</v>
      </c>
      <c r="N287" s="180">
        <v>2.23</v>
      </c>
      <c r="O287" s="181">
        <v>2.57</v>
      </c>
      <c r="P287" s="182">
        <v>5</v>
      </c>
      <c r="Q287" s="182">
        <f t="shared" si="1071"/>
        <v>421918.34300000005</v>
      </c>
      <c r="R287" s="182">
        <v>1</v>
      </c>
      <c r="S287" s="182">
        <f t="shared" si="1072"/>
        <v>84383.668600000005</v>
      </c>
      <c r="T287" s="182"/>
      <c r="U287" s="182">
        <f t="shared" si="1073"/>
        <v>0</v>
      </c>
      <c r="V287" s="182"/>
      <c r="W287" s="183">
        <f t="shared" si="1074"/>
        <v>0</v>
      </c>
      <c r="X287" s="183"/>
      <c r="Y287" s="183">
        <v>0</v>
      </c>
      <c r="Z287" s="183"/>
      <c r="AA287" s="183">
        <v>0</v>
      </c>
      <c r="AB287" s="182">
        <f t="shared" si="1075"/>
        <v>0</v>
      </c>
      <c r="AC287" s="182">
        <f t="shared" si="1075"/>
        <v>0</v>
      </c>
      <c r="AD287" s="182"/>
      <c r="AE287" s="182">
        <f t="shared" si="1076"/>
        <v>0</v>
      </c>
      <c r="AF287" s="182"/>
      <c r="AG287" s="182"/>
      <c r="AH287" s="182">
        <v>2</v>
      </c>
      <c r="AI287" s="182">
        <f t="shared" si="1077"/>
        <v>168767.33720000001</v>
      </c>
      <c r="AJ287" s="182"/>
      <c r="AK287" s="182"/>
      <c r="AL287" s="182"/>
      <c r="AM287" s="182"/>
      <c r="AN287" s="184"/>
      <c r="AO287" s="182">
        <f t="shared" si="1078"/>
        <v>0</v>
      </c>
      <c r="AP287" s="182"/>
      <c r="AQ287" s="183">
        <f t="shared" si="1079"/>
        <v>0</v>
      </c>
      <c r="AR287" s="182"/>
      <c r="AS287" s="182">
        <f t="shared" si="1116"/>
        <v>0</v>
      </c>
      <c r="AT287" s="182">
        <v>2</v>
      </c>
      <c r="AU287" s="182">
        <f t="shared" si="1081"/>
        <v>212168.06727884879</v>
      </c>
      <c r="AV287" s="188"/>
      <c r="AW287" s="182">
        <f t="shared" si="1082"/>
        <v>0</v>
      </c>
      <c r="AX287" s="182"/>
      <c r="AY287" s="187">
        <f t="shared" si="1083"/>
        <v>0</v>
      </c>
      <c r="AZ287" s="182"/>
      <c r="BA287" s="182">
        <f t="shared" si="1084"/>
        <v>0</v>
      </c>
      <c r="BB287" s="182">
        <v>0</v>
      </c>
      <c r="BC287" s="182">
        <f t="shared" si="1085"/>
        <v>0</v>
      </c>
      <c r="BD287" s="182"/>
      <c r="BE287" s="182">
        <f t="shared" si="1086"/>
        <v>0</v>
      </c>
      <c r="BF287" s="182"/>
      <c r="BG287" s="182">
        <f t="shared" si="1087"/>
        <v>0</v>
      </c>
      <c r="BH287" s="182"/>
      <c r="BI287" s="183">
        <f t="shared" si="1088"/>
        <v>0</v>
      </c>
      <c r="BJ287" s="182"/>
      <c r="BK287" s="183">
        <f t="shared" si="1089"/>
        <v>0</v>
      </c>
      <c r="BL287" s="182"/>
      <c r="BM287" s="182">
        <f t="shared" ref="BM287:BM294" si="1124">(BL287*$E287*$F287*$G287*$L287*$BM$12)</f>
        <v>0</v>
      </c>
      <c r="BN287" s="182"/>
      <c r="BO287" s="182">
        <f t="shared" si="1091"/>
        <v>0</v>
      </c>
      <c r="BP287" s="182"/>
      <c r="BQ287" s="182">
        <f t="shared" si="1092"/>
        <v>0</v>
      </c>
      <c r="BR287" s="182"/>
      <c r="BS287" s="183">
        <f t="shared" si="1093"/>
        <v>0</v>
      </c>
      <c r="BT287" s="182"/>
      <c r="BU287" s="182">
        <f t="shared" si="1117"/>
        <v>0</v>
      </c>
      <c r="BV287" s="182"/>
      <c r="BW287" s="182">
        <f t="shared" si="1095"/>
        <v>0</v>
      </c>
      <c r="BX287" s="182"/>
      <c r="BY287" s="183">
        <f t="shared" si="1118"/>
        <v>0</v>
      </c>
      <c r="BZ287" s="182"/>
      <c r="CA287" s="187">
        <f t="shared" si="1119"/>
        <v>0</v>
      </c>
      <c r="CB287" s="182"/>
      <c r="CC287" s="182">
        <f t="shared" si="1098"/>
        <v>0</v>
      </c>
      <c r="CD287" s="182"/>
      <c r="CE287" s="182">
        <f t="shared" si="1099"/>
        <v>0</v>
      </c>
      <c r="CF287" s="182"/>
      <c r="CG287" s="182">
        <f t="shared" si="1100"/>
        <v>0</v>
      </c>
      <c r="CH287" s="182"/>
      <c r="CI287" s="182">
        <f t="shared" si="1120"/>
        <v>0</v>
      </c>
      <c r="CJ287" s="182"/>
      <c r="CK287" s="182"/>
      <c r="CL287" s="182"/>
      <c r="CM287" s="183">
        <f t="shared" si="1102"/>
        <v>0</v>
      </c>
      <c r="CN287" s="182"/>
      <c r="CO287" s="183">
        <f t="shared" si="1103"/>
        <v>0</v>
      </c>
      <c r="CP287" s="182"/>
      <c r="CQ287" s="182">
        <f t="shared" si="1121"/>
        <v>0</v>
      </c>
      <c r="CR287" s="182"/>
      <c r="CS287" s="182">
        <f t="shared" si="1122"/>
        <v>0</v>
      </c>
      <c r="CT287" s="182"/>
      <c r="CU287" s="182">
        <f t="shared" si="1123"/>
        <v>0</v>
      </c>
      <c r="CV287" s="182"/>
      <c r="CW287" s="182">
        <v>0</v>
      </c>
      <c r="CX287" s="182">
        <v>1</v>
      </c>
      <c r="CY287" s="182">
        <f t="shared" ref="CY287:CY288" si="1125">(CX287/12*11*$E287*$F287*$G287*$M287*$CY$12)+(CX287/12*$E287*$F287*$G287*$M287*$CY$15*$CY$12)</f>
        <v>99344.739617927989</v>
      </c>
      <c r="CZ287" s="182"/>
      <c r="DA287" s="182">
        <v>0</v>
      </c>
      <c r="DB287" s="188"/>
      <c r="DC287" s="182">
        <f t="shared" si="1108"/>
        <v>0</v>
      </c>
      <c r="DD287" s="182"/>
      <c r="DE287" s="187">
        <f t="shared" si="1109"/>
        <v>0</v>
      </c>
      <c r="DF287" s="182"/>
      <c r="DG287" s="182">
        <f t="shared" si="1110"/>
        <v>0</v>
      </c>
      <c r="DH287" s="189"/>
      <c r="DI287" s="182">
        <f t="shared" si="1111"/>
        <v>0</v>
      </c>
      <c r="DJ287" s="182"/>
      <c r="DK287" s="182">
        <f t="shared" ref="DK287:DK294" si="1126">(DJ287*$E287*$F287*$G287*$M287*$DK$12)</f>
        <v>0</v>
      </c>
      <c r="DL287" s="182"/>
      <c r="DM287" s="182">
        <f t="shared" si="1113"/>
        <v>0</v>
      </c>
      <c r="DN287" s="182"/>
      <c r="DO287" s="190">
        <f t="shared" si="1114"/>
        <v>0</v>
      </c>
      <c r="DP287" s="187"/>
      <c r="DQ287" s="187"/>
      <c r="DR287" s="183">
        <f t="shared" si="1115"/>
        <v>11</v>
      </c>
      <c r="DS287" s="183">
        <f t="shared" si="1115"/>
        <v>986582.1556967767</v>
      </c>
      <c r="DT287" s="182">
        <v>12</v>
      </c>
      <c r="DU287" s="182">
        <v>1058631.4787999999</v>
      </c>
      <c r="DV287" s="167">
        <f t="shared" si="1035"/>
        <v>-1</v>
      </c>
      <c r="DW287" s="167">
        <f t="shared" si="1035"/>
        <v>-72049.323103223229</v>
      </c>
    </row>
    <row r="288" spans="1:127" ht="30" customHeight="1" x14ac:dyDescent="0.25">
      <c r="A288" s="154"/>
      <c r="B288" s="176">
        <v>248</v>
      </c>
      <c r="C288" s="177" t="s">
        <v>655</v>
      </c>
      <c r="D288" s="210" t="s">
        <v>656</v>
      </c>
      <c r="E288" s="158">
        <v>25969</v>
      </c>
      <c r="F288" s="179">
        <v>3.97</v>
      </c>
      <c r="G288" s="168">
        <v>1</v>
      </c>
      <c r="H288" s="169"/>
      <c r="I288" s="169"/>
      <c r="J288" s="169"/>
      <c r="K288" s="106"/>
      <c r="L288" s="180">
        <v>1.4</v>
      </c>
      <c r="M288" s="180">
        <v>1.68</v>
      </c>
      <c r="N288" s="180">
        <v>2.23</v>
      </c>
      <c r="O288" s="181">
        <v>2.57</v>
      </c>
      <c r="P288" s="182">
        <v>0</v>
      </c>
      <c r="Q288" s="182">
        <f t="shared" si="1071"/>
        <v>0</v>
      </c>
      <c r="R288" s="182"/>
      <c r="S288" s="182">
        <f t="shared" si="1072"/>
        <v>0</v>
      </c>
      <c r="T288" s="182"/>
      <c r="U288" s="182">
        <f t="shared" si="1073"/>
        <v>0</v>
      </c>
      <c r="V288" s="182"/>
      <c r="W288" s="183">
        <f t="shared" si="1074"/>
        <v>0</v>
      </c>
      <c r="X288" s="183"/>
      <c r="Y288" s="183">
        <v>0</v>
      </c>
      <c r="Z288" s="183"/>
      <c r="AA288" s="183">
        <v>0</v>
      </c>
      <c r="AB288" s="182">
        <f t="shared" si="1075"/>
        <v>0</v>
      </c>
      <c r="AC288" s="182">
        <f t="shared" si="1075"/>
        <v>0</v>
      </c>
      <c r="AD288" s="182"/>
      <c r="AE288" s="182">
        <f t="shared" si="1076"/>
        <v>0</v>
      </c>
      <c r="AF288" s="182"/>
      <c r="AG288" s="182"/>
      <c r="AH288" s="182"/>
      <c r="AI288" s="182">
        <f t="shared" si="1077"/>
        <v>0</v>
      </c>
      <c r="AJ288" s="182"/>
      <c r="AK288" s="182"/>
      <c r="AL288" s="182"/>
      <c r="AM288" s="182"/>
      <c r="AN288" s="184"/>
      <c r="AO288" s="182">
        <f t="shared" si="1078"/>
        <v>0</v>
      </c>
      <c r="AP288" s="182"/>
      <c r="AQ288" s="183">
        <f t="shared" si="1079"/>
        <v>0</v>
      </c>
      <c r="AR288" s="182"/>
      <c r="AS288" s="182">
        <f t="shared" si="1116"/>
        <v>0</v>
      </c>
      <c r="AT288" s="182"/>
      <c r="AU288" s="182">
        <f t="shared" si="1081"/>
        <v>0</v>
      </c>
      <c r="AV288" s="188"/>
      <c r="AW288" s="182">
        <f t="shared" si="1082"/>
        <v>0</v>
      </c>
      <c r="AX288" s="182"/>
      <c r="AY288" s="187">
        <f t="shared" si="1083"/>
        <v>0</v>
      </c>
      <c r="AZ288" s="182"/>
      <c r="BA288" s="182">
        <f t="shared" si="1084"/>
        <v>0</v>
      </c>
      <c r="BB288" s="182"/>
      <c r="BC288" s="182">
        <f t="shared" si="1085"/>
        <v>0</v>
      </c>
      <c r="BD288" s="182"/>
      <c r="BE288" s="182">
        <f t="shared" si="1086"/>
        <v>0</v>
      </c>
      <c r="BF288" s="182"/>
      <c r="BG288" s="182">
        <f t="shared" si="1087"/>
        <v>0</v>
      </c>
      <c r="BH288" s="182"/>
      <c r="BI288" s="183">
        <f t="shared" si="1088"/>
        <v>0</v>
      </c>
      <c r="BJ288" s="182"/>
      <c r="BK288" s="183">
        <f t="shared" si="1089"/>
        <v>0</v>
      </c>
      <c r="BL288" s="182"/>
      <c r="BM288" s="182">
        <f t="shared" si="1124"/>
        <v>0</v>
      </c>
      <c r="BN288" s="182"/>
      <c r="BO288" s="182">
        <f t="shared" si="1091"/>
        <v>0</v>
      </c>
      <c r="BP288" s="182"/>
      <c r="BQ288" s="182">
        <f t="shared" si="1092"/>
        <v>0</v>
      </c>
      <c r="BR288" s="182"/>
      <c r="BS288" s="183">
        <f t="shared" si="1093"/>
        <v>0</v>
      </c>
      <c r="BT288" s="182"/>
      <c r="BU288" s="182">
        <f t="shared" si="1117"/>
        <v>0</v>
      </c>
      <c r="BV288" s="182"/>
      <c r="BW288" s="182">
        <f t="shared" si="1095"/>
        <v>0</v>
      </c>
      <c r="BX288" s="182"/>
      <c r="BY288" s="183">
        <f t="shared" si="1118"/>
        <v>0</v>
      </c>
      <c r="BZ288" s="182"/>
      <c r="CA288" s="187">
        <f t="shared" si="1119"/>
        <v>0</v>
      </c>
      <c r="CB288" s="182"/>
      <c r="CC288" s="182">
        <f t="shared" si="1098"/>
        <v>0</v>
      </c>
      <c r="CD288" s="182"/>
      <c r="CE288" s="182">
        <f t="shared" si="1099"/>
        <v>0</v>
      </c>
      <c r="CF288" s="182"/>
      <c r="CG288" s="182">
        <f t="shared" si="1100"/>
        <v>0</v>
      </c>
      <c r="CH288" s="182"/>
      <c r="CI288" s="182">
        <f t="shared" si="1120"/>
        <v>0</v>
      </c>
      <c r="CJ288" s="182"/>
      <c r="CK288" s="182"/>
      <c r="CL288" s="182"/>
      <c r="CM288" s="183">
        <f t="shared" si="1102"/>
        <v>0</v>
      </c>
      <c r="CN288" s="182"/>
      <c r="CO288" s="183">
        <f t="shared" si="1103"/>
        <v>0</v>
      </c>
      <c r="CP288" s="182"/>
      <c r="CQ288" s="182">
        <f t="shared" si="1121"/>
        <v>0</v>
      </c>
      <c r="CR288" s="182"/>
      <c r="CS288" s="182">
        <f t="shared" si="1122"/>
        <v>0</v>
      </c>
      <c r="CT288" s="182"/>
      <c r="CU288" s="182">
        <f t="shared" si="1123"/>
        <v>0</v>
      </c>
      <c r="CV288" s="182"/>
      <c r="CW288" s="182">
        <v>0</v>
      </c>
      <c r="CX288" s="182">
        <v>1</v>
      </c>
      <c r="CY288" s="182">
        <f t="shared" si="1125"/>
        <v>186918.77548965596</v>
      </c>
      <c r="CZ288" s="182"/>
      <c r="DA288" s="182">
        <v>0</v>
      </c>
      <c r="DB288" s="188"/>
      <c r="DC288" s="182">
        <f t="shared" si="1108"/>
        <v>0</v>
      </c>
      <c r="DD288" s="182"/>
      <c r="DE288" s="187">
        <f t="shared" si="1109"/>
        <v>0</v>
      </c>
      <c r="DF288" s="182"/>
      <c r="DG288" s="182">
        <f t="shared" si="1110"/>
        <v>0</v>
      </c>
      <c r="DH288" s="189"/>
      <c r="DI288" s="182">
        <f t="shared" si="1111"/>
        <v>0</v>
      </c>
      <c r="DJ288" s="182"/>
      <c r="DK288" s="182">
        <f t="shared" si="1126"/>
        <v>0</v>
      </c>
      <c r="DL288" s="182"/>
      <c r="DM288" s="182">
        <f t="shared" si="1113"/>
        <v>0</v>
      </c>
      <c r="DN288" s="182"/>
      <c r="DO288" s="190">
        <f t="shared" si="1114"/>
        <v>0</v>
      </c>
      <c r="DP288" s="187"/>
      <c r="DQ288" s="187"/>
      <c r="DR288" s="183">
        <f t="shared" si="1115"/>
        <v>1</v>
      </c>
      <c r="DS288" s="183">
        <f t="shared" si="1115"/>
        <v>186918.77548965596</v>
      </c>
      <c r="DT288" s="182">
        <v>1</v>
      </c>
      <c r="DU288" s="182">
        <v>173202.84239999999</v>
      </c>
      <c r="DV288" s="167">
        <f t="shared" si="1035"/>
        <v>0</v>
      </c>
      <c r="DW288" s="167">
        <f t="shared" si="1035"/>
        <v>13715.93308965597</v>
      </c>
    </row>
    <row r="289" spans="1:127" s="6" customFormat="1" ht="30" customHeight="1" x14ac:dyDescent="0.25">
      <c r="A289" s="154"/>
      <c r="B289" s="176">
        <v>249</v>
      </c>
      <c r="C289" s="177" t="s">
        <v>657</v>
      </c>
      <c r="D289" s="210" t="s">
        <v>658</v>
      </c>
      <c r="E289" s="158">
        <v>25969</v>
      </c>
      <c r="F289" s="179">
        <v>4.3099999999999996</v>
      </c>
      <c r="G289" s="243">
        <v>0.8</v>
      </c>
      <c r="H289" s="242"/>
      <c r="I289" s="242"/>
      <c r="J289" s="242"/>
      <c r="K289" s="106"/>
      <c r="L289" s="180">
        <v>1.4</v>
      </c>
      <c r="M289" s="180">
        <v>1.68</v>
      </c>
      <c r="N289" s="180">
        <v>2.23</v>
      </c>
      <c r="O289" s="181">
        <v>2.57</v>
      </c>
      <c r="P289" s="182">
        <v>33</v>
      </c>
      <c r="Q289" s="182">
        <f t="shared" si="1071"/>
        <v>4550479.3118399996</v>
      </c>
      <c r="R289" s="182">
        <v>75</v>
      </c>
      <c r="S289" s="182">
        <f t="shared" si="1072"/>
        <v>10341998.436000001</v>
      </c>
      <c r="T289" s="182"/>
      <c r="U289" s="182">
        <f t="shared" si="1073"/>
        <v>0</v>
      </c>
      <c r="V289" s="182"/>
      <c r="W289" s="183">
        <f t="shared" si="1074"/>
        <v>0</v>
      </c>
      <c r="X289" s="183"/>
      <c r="Y289" s="183">
        <v>0</v>
      </c>
      <c r="Z289" s="183"/>
      <c r="AA289" s="183">
        <v>0</v>
      </c>
      <c r="AB289" s="182">
        <f t="shared" si="1075"/>
        <v>0</v>
      </c>
      <c r="AC289" s="182">
        <f t="shared" si="1075"/>
        <v>0</v>
      </c>
      <c r="AD289" s="182"/>
      <c r="AE289" s="182">
        <f t="shared" si="1076"/>
        <v>0</v>
      </c>
      <c r="AF289" s="182"/>
      <c r="AG289" s="182"/>
      <c r="AH289" s="182"/>
      <c r="AI289" s="182">
        <f t="shared" si="1077"/>
        <v>0</v>
      </c>
      <c r="AJ289" s="182"/>
      <c r="AK289" s="182"/>
      <c r="AL289" s="182"/>
      <c r="AM289" s="182"/>
      <c r="AN289" s="184"/>
      <c r="AO289" s="182">
        <f t="shared" si="1078"/>
        <v>0</v>
      </c>
      <c r="AP289" s="182"/>
      <c r="AQ289" s="183">
        <f t="shared" si="1079"/>
        <v>0</v>
      </c>
      <c r="AR289" s="182"/>
      <c r="AS289" s="182">
        <f t="shared" si="1116"/>
        <v>0</v>
      </c>
      <c r="AT289" s="182">
        <v>15</v>
      </c>
      <c r="AU289" s="182">
        <f t="shared" si="1081"/>
        <v>2600315.7439957485</v>
      </c>
      <c r="AV289" s="188"/>
      <c r="AW289" s="182">
        <f t="shared" si="1082"/>
        <v>0</v>
      </c>
      <c r="AX289" s="182"/>
      <c r="AY289" s="187">
        <f t="shared" si="1083"/>
        <v>0</v>
      </c>
      <c r="AZ289" s="182"/>
      <c r="BA289" s="182">
        <f t="shared" si="1084"/>
        <v>0</v>
      </c>
      <c r="BB289" s="182"/>
      <c r="BC289" s="182">
        <f t="shared" si="1085"/>
        <v>0</v>
      </c>
      <c r="BD289" s="182"/>
      <c r="BE289" s="182">
        <f t="shared" si="1086"/>
        <v>0</v>
      </c>
      <c r="BF289" s="182"/>
      <c r="BG289" s="182">
        <f t="shared" si="1087"/>
        <v>0</v>
      </c>
      <c r="BH289" s="182"/>
      <c r="BI289" s="183">
        <f t="shared" si="1088"/>
        <v>0</v>
      </c>
      <c r="BJ289" s="182"/>
      <c r="BK289" s="183">
        <f t="shared" si="1089"/>
        <v>0</v>
      </c>
      <c r="BL289" s="182"/>
      <c r="BM289" s="182">
        <f t="shared" si="1124"/>
        <v>0</v>
      </c>
      <c r="BN289" s="182"/>
      <c r="BO289" s="182">
        <f t="shared" si="1091"/>
        <v>0</v>
      </c>
      <c r="BP289" s="182"/>
      <c r="BQ289" s="182">
        <f t="shared" si="1092"/>
        <v>0</v>
      </c>
      <c r="BR289" s="182"/>
      <c r="BS289" s="183">
        <f t="shared" si="1093"/>
        <v>0</v>
      </c>
      <c r="BT289" s="182"/>
      <c r="BU289" s="182">
        <f t="shared" si="1117"/>
        <v>0</v>
      </c>
      <c r="BV289" s="182"/>
      <c r="BW289" s="182">
        <f t="shared" si="1095"/>
        <v>0</v>
      </c>
      <c r="BX289" s="182"/>
      <c r="BY289" s="183">
        <f t="shared" si="1118"/>
        <v>0</v>
      </c>
      <c r="BZ289" s="182"/>
      <c r="CA289" s="187">
        <f t="shared" si="1119"/>
        <v>0</v>
      </c>
      <c r="CB289" s="182"/>
      <c r="CC289" s="182">
        <f t="shared" si="1098"/>
        <v>0</v>
      </c>
      <c r="CD289" s="182"/>
      <c r="CE289" s="182">
        <f t="shared" si="1099"/>
        <v>0</v>
      </c>
      <c r="CF289" s="182"/>
      <c r="CG289" s="182">
        <f t="shared" si="1100"/>
        <v>0</v>
      </c>
      <c r="CH289" s="182"/>
      <c r="CI289" s="182">
        <f t="shared" si="1120"/>
        <v>0</v>
      </c>
      <c r="CJ289" s="182"/>
      <c r="CK289" s="182"/>
      <c r="CL289" s="182"/>
      <c r="CM289" s="183">
        <f t="shared" si="1102"/>
        <v>0</v>
      </c>
      <c r="CN289" s="182"/>
      <c r="CO289" s="183">
        <f t="shared" si="1103"/>
        <v>0</v>
      </c>
      <c r="CP289" s="182"/>
      <c r="CQ289" s="182">
        <f t="shared" si="1121"/>
        <v>0</v>
      </c>
      <c r="CR289" s="182"/>
      <c r="CS289" s="182">
        <f t="shared" si="1122"/>
        <v>0</v>
      </c>
      <c r="CT289" s="182"/>
      <c r="CU289" s="182">
        <f t="shared" si="1123"/>
        <v>0</v>
      </c>
      <c r="CV289" s="182"/>
      <c r="CW289" s="182">
        <v>0</v>
      </c>
      <c r="CX289" s="182"/>
      <c r="CY289" s="182">
        <f t="shared" si="1107"/>
        <v>0</v>
      </c>
      <c r="CZ289" s="182"/>
      <c r="DA289" s="182">
        <v>0</v>
      </c>
      <c r="DB289" s="188"/>
      <c r="DC289" s="182">
        <f t="shared" si="1108"/>
        <v>0</v>
      </c>
      <c r="DD289" s="182"/>
      <c r="DE289" s="187">
        <f t="shared" si="1109"/>
        <v>0</v>
      </c>
      <c r="DF289" s="182"/>
      <c r="DG289" s="182">
        <f t="shared" si="1110"/>
        <v>0</v>
      </c>
      <c r="DH289" s="189"/>
      <c r="DI289" s="182">
        <f t="shared" si="1111"/>
        <v>0</v>
      </c>
      <c r="DJ289" s="182"/>
      <c r="DK289" s="182">
        <f t="shared" si="1126"/>
        <v>0</v>
      </c>
      <c r="DL289" s="182"/>
      <c r="DM289" s="182">
        <f t="shared" si="1113"/>
        <v>0</v>
      </c>
      <c r="DN289" s="182"/>
      <c r="DO289" s="190">
        <f t="shared" si="1114"/>
        <v>0</v>
      </c>
      <c r="DP289" s="187"/>
      <c r="DQ289" s="182"/>
      <c r="DR289" s="183">
        <f t="shared" si="1115"/>
        <v>123</v>
      </c>
      <c r="DS289" s="183">
        <f t="shared" si="1115"/>
        <v>17492793.491835751</v>
      </c>
      <c r="DT289" s="182">
        <v>128</v>
      </c>
      <c r="DU289" s="182">
        <v>18120434.835440002</v>
      </c>
      <c r="DV289" s="167">
        <f t="shared" si="1035"/>
        <v>-5</v>
      </c>
      <c r="DW289" s="167">
        <f t="shared" si="1035"/>
        <v>-627641.34360425174</v>
      </c>
    </row>
    <row r="290" spans="1:127" s="6" customFormat="1" ht="15.75" customHeight="1" x14ac:dyDescent="0.25">
      <c r="A290" s="154"/>
      <c r="B290" s="176">
        <v>250</v>
      </c>
      <c r="C290" s="177" t="s">
        <v>659</v>
      </c>
      <c r="D290" s="210" t="s">
        <v>660</v>
      </c>
      <c r="E290" s="158">
        <v>25969</v>
      </c>
      <c r="F290" s="168">
        <v>1.2</v>
      </c>
      <c r="G290" s="168">
        <v>1</v>
      </c>
      <c r="H290" s="169"/>
      <c r="I290" s="169"/>
      <c r="J290" s="169"/>
      <c r="K290" s="106"/>
      <c r="L290" s="180">
        <v>1.4</v>
      </c>
      <c r="M290" s="180">
        <v>1.68</v>
      </c>
      <c r="N290" s="180">
        <v>2.23</v>
      </c>
      <c r="O290" s="181">
        <v>2.57</v>
      </c>
      <c r="P290" s="182">
        <v>8</v>
      </c>
      <c r="Q290" s="182">
        <f t="shared" si="1071"/>
        <v>383925.696</v>
      </c>
      <c r="R290" s="182"/>
      <c r="S290" s="182">
        <f t="shared" si="1072"/>
        <v>0</v>
      </c>
      <c r="T290" s="182"/>
      <c r="U290" s="182">
        <f t="shared" si="1073"/>
        <v>0</v>
      </c>
      <c r="V290" s="182"/>
      <c r="W290" s="183">
        <f t="shared" si="1074"/>
        <v>0</v>
      </c>
      <c r="X290" s="183"/>
      <c r="Y290" s="183">
        <v>0</v>
      </c>
      <c r="Z290" s="183">
        <v>1</v>
      </c>
      <c r="AA290" s="183">
        <v>73294.905599999984</v>
      </c>
      <c r="AB290" s="182">
        <f t="shared" si="1075"/>
        <v>1</v>
      </c>
      <c r="AC290" s="182">
        <f t="shared" si="1075"/>
        <v>73294.905599999984</v>
      </c>
      <c r="AD290" s="182"/>
      <c r="AE290" s="182">
        <f t="shared" si="1076"/>
        <v>0</v>
      </c>
      <c r="AF290" s="182"/>
      <c r="AG290" s="182"/>
      <c r="AH290" s="182">
        <v>2</v>
      </c>
      <c r="AI290" s="182">
        <f t="shared" si="1077"/>
        <v>95981.423999999999</v>
      </c>
      <c r="AJ290" s="182"/>
      <c r="AK290" s="182"/>
      <c r="AL290" s="182"/>
      <c r="AM290" s="182"/>
      <c r="AN290" s="182">
        <v>1</v>
      </c>
      <c r="AO290" s="182">
        <f t="shared" si="1078"/>
        <v>47990.712</v>
      </c>
      <c r="AP290" s="182">
        <v>1</v>
      </c>
      <c r="AQ290" s="183">
        <f t="shared" si="1079"/>
        <v>47990.712</v>
      </c>
      <c r="AR290" s="182"/>
      <c r="AS290" s="182">
        <f t="shared" si="1116"/>
        <v>0</v>
      </c>
      <c r="AT290" s="182">
        <v>4</v>
      </c>
      <c r="AU290" s="182">
        <f t="shared" si="1081"/>
        <v>241328.60733139195</v>
      </c>
      <c r="AV290" s="188">
        <v>11</v>
      </c>
      <c r="AW290" s="182">
        <v>806244.01000000024</v>
      </c>
      <c r="AX290" s="182"/>
      <c r="AY290" s="187">
        <f t="shared" si="1083"/>
        <v>0</v>
      </c>
      <c r="AZ290" s="182"/>
      <c r="BA290" s="182">
        <f t="shared" si="1084"/>
        <v>0</v>
      </c>
      <c r="BB290" s="182">
        <v>0</v>
      </c>
      <c r="BC290" s="182">
        <f t="shared" si="1085"/>
        <v>0</v>
      </c>
      <c r="BD290" s="182"/>
      <c r="BE290" s="182">
        <f t="shared" si="1086"/>
        <v>0</v>
      </c>
      <c r="BF290" s="182"/>
      <c r="BG290" s="182">
        <f t="shared" si="1087"/>
        <v>0</v>
      </c>
      <c r="BH290" s="182"/>
      <c r="BI290" s="183">
        <f t="shared" si="1088"/>
        <v>0</v>
      </c>
      <c r="BJ290" s="182"/>
      <c r="BK290" s="183">
        <f t="shared" si="1089"/>
        <v>0</v>
      </c>
      <c r="BL290" s="182"/>
      <c r="BM290" s="182">
        <f t="shared" si="1124"/>
        <v>0</v>
      </c>
      <c r="BN290" s="182">
        <v>20</v>
      </c>
      <c r="BO290" s="182">
        <f t="shared" si="1091"/>
        <v>1151777.088</v>
      </c>
      <c r="BP290" s="182"/>
      <c r="BQ290" s="182">
        <f t="shared" si="1092"/>
        <v>0</v>
      </c>
      <c r="BR290" s="182"/>
      <c r="BS290" s="183">
        <f t="shared" si="1093"/>
        <v>0</v>
      </c>
      <c r="BT290" s="182">
        <v>5</v>
      </c>
      <c r="BU290" s="182">
        <f t="shared" ref="BU290" si="1127">(BT290*$E290*$F290*$G290*$M290*$BU$12)/12*10+(BT290*$E290*$F290*$G290*$M290*$BU$13)/12+(BT290*$E290*$F290*$G290*$M290*$BU$13*$BU$15)/12</f>
        <v>291609.36630335997</v>
      </c>
      <c r="BV290" s="182"/>
      <c r="BW290" s="182">
        <f t="shared" si="1095"/>
        <v>0</v>
      </c>
      <c r="BX290" s="182"/>
      <c r="BY290" s="183">
        <f t="shared" si="1118"/>
        <v>0</v>
      </c>
      <c r="BZ290" s="182"/>
      <c r="CA290" s="187">
        <f t="shared" si="1119"/>
        <v>0</v>
      </c>
      <c r="CB290" s="182"/>
      <c r="CC290" s="182">
        <f t="shared" si="1098"/>
        <v>0</v>
      </c>
      <c r="CD290" s="182"/>
      <c r="CE290" s="182">
        <f t="shared" si="1099"/>
        <v>0</v>
      </c>
      <c r="CF290" s="182"/>
      <c r="CG290" s="182">
        <f t="shared" si="1100"/>
        <v>0</v>
      </c>
      <c r="CH290" s="182"/>
      <c r="CI290" s="182">
        <f t="shared" si="1120"/>
        <v>0</v>
      </c>
      <c r="CJ290" s="182"/>
      <c r="CK290" s="182"/>
      <c r="CL290" s="182"/>
      <c r="CM290" s="183">
        <f t="shared" si="1102"/>
        <v>0</v>
      </c>
      <c r="CN290" s="182"/>
      <c r="CO290" s="183">
        <f t="shared" si="1103"/>
        <v>0</v>
      </c>
      <c r="CP290" s="182"/>
      <c r="CQ290" s="182">
        <f t="shared" si="1121"/>
        <v>0</v>
      </c>
      <c r="CR290" s="182"/>
      <c r="CS290" s="182">
        <f t="shared" si="1122"/>
        <v>0</v>
      </c>
      <c r="CT290" s="182"/>
      <c r="CU290" s="182">
        <f t="shared" si="1123"/>
        <v>0</v>
      </c>
      <c r="CV290" s="182"/>
      <c r="CW290" s="182">
        <v>0</v>
      </c>
      <c r="CX290" s="182"/>
      <c r="CY290" s="182">
        <f t="shared" si="1107"/>
        <v>0</v>
      </c>
      <c r="CZ290" s="182"/>
      <c r="DA290" s="182">
        <v>0</v>
      </c>
      <c r="DB290" s="188"/>
      <c r="DC290" s="182">
        <f t="shared" si="1108"/>
        <v>0</v>
      </c>
      <c r="DD290" s="182"/>
      <c r="DE290" s="187">
        <f t="shared" si="1109"/>
        <v>0</v>
      </c>
      <c r="DF290" s="182"/>
      <c r="DG290" s="182">
        <f t="shared" si="1110"/>
        <v>0</v>
      </c>
      <c r="DH290" s="189"/>
      <c r="DI290" s="182">
        <f t="shared" si="1111"/>
        <v>0</v>
      </c>
      <c r="DJ290" s="182"/>
      <c r="DK290" s="182">
        <f t="shared" si="1126"/>
        <v>0</v>
      </c>
      <c r="DL290" s="182"/>
      <c r="DM290" s="182">
        <f t="shared" si="1113"/>
        <v>0</v>
      </c>
      <c r="DN290" s="182"/>
      <c r="DO290" s="190">
        <f t="shared" si="1114"/>
        <v>0</v>
      </c>
      <c r="DP290" s="187"/>
      <c r="DQ290" s="187"/>
      <c r="DR290" s="183">
        <f t="shared" si="1115"/>
        <v>53</v>
      </c>
      <c r="DS290" s="183">
        <f t="shared" si="1115"/>
        <v>3140142.5212347521</v>
      </c>
      <c r="DT290" s="182">
        <v>49</v>
      </c>
      <c r="DU290" s="182">
        <v>2820108.7487999997</v>
      </c>
      <c r="DV290" s="167">
        <f t="shared" si="1035"/>
        <v>4</v>
      </c>
      <c r="DW290" s="167">
        <f t="shared" si="1035"/>
        <v>320033.77243475243</v>
      </c>
    </row>
    <row r="291" spans="1:127" s="6" customFormat="1" ht="18.75" customHeight="1" x14ac:dyDescent="0.25">
      <c r="A291" s="154"/>
      <c r="B291" s="176">
        <v>251</v>
      </c>
      <c r="C291" s="177" t="s">
        <v>661</v>
      </c>
      <c r="D291" s="210" t="s">
        <v>662</v>
      </c>
      <c r="E291" s="158">
        <v>25969</v>
      </c>
      <c r="F291" s="179">
        <v>2.37</v>
      </c>
      <c r="G291" s="243">
        <v>0.9</v>
      </c>
      <c r="H291" s="242"/>
      <c r="I291" s="242"/>
      <c r="J291" s="242"/>
      <c r="K291" s="106"/>
      <c r="L291" s="180">
        <v>1.4</v>
      </c>
      <c r="M291" s="180">
        <v>1.68</v>
      </c>
      <c r="N291" s="180">
        <v>2.23</v>
      </c>
      <c r="O291" s="181">
        <v>2.57</v>
      </c>
      <c r="P291" s="244">
        <v>232</v>
      </c>
      <c r="Q291" s="182">
        <f t="shared" si="1071"/>
        <v>19790409.81456</v>
      </c>
      <c r="R291" s="182">
        <v>2</v>
      </c>
      <c r="S291" s="182">
        <f t="shared" si="1072"/>
        <v>170606.98116000002</v>
      </c>
      <c r="T291" s="182"/>
      <c r="U291" s="182">
        <f t="shared" si="1073"/>
        <v>0</v>
      </c>
      <c r="V291" s="182"/>
      <c r="W291" s="183">
        <f t="shared" si="1074"/>
        <v>0</v>
      </c>
      <c r="X291" s="183"/>
      <c r="Y291" s="183">
        <v>0</v>
      </c>
      <c r="Z291" s="183"/>
      <c r="AA291" s="183">
        <v>0</v>
      </c>
      <c r="AB291" s="182">
        <f t="shared" si="1075"/>
        <v>0</v>
      </c>
      <c r="AC291" s="182">
        <f t="shared" si="1075"/>
        <v>0</v>
      </c>
      <c r="AD291" s="182"/>
      <c r="AE291" s="182">
        <f t="shared" si="1076"/>
        <v>0</v>
      </c>
      <c r="AF291" s="182"/>
      <c r="AG291" s="182"/>
      <c r="AH291" s="182">
        <v>60</v>
      </c>
      <c r="AI291" s="182">
        <f t="shared" si="1077"/>
        <v>5118209.4347999999</v>
      </c>
      <c r="AJ291" s="182"/>
      <c r="AK291" s="182"/>
      <c r="AL291" s="182"/>
      <c r="AM291" s="182"/>
      <c r="AN291" s="182">
        <v>1</v>
      </c>
      <c r="AO291" s="182">
        <f t="shared" si="1078"/>
        <v>85303.490580000012</v>
      </c>
      <c r="AP291" s="182">
        <v>1</v>
      </c>
      <c r="AQ291" s="183">
        <f t="shared" si="1079"/>
        <v>85303.490580000012</v>
      </c>
      <c r="AR291" s="182"/>
      <c r="AS291" s="182">
        <f t="shared" si="1116"/>
        <v>0</v>
      </c>
      <c r="AT291" s="182">
        <v>10</v>
      </c>
      <c r="AU291" s="182">
        <f t="shared" si="1081"/>
        <v>1072403.998828873</v>
      </c>
      <c r="AV291" s="188"/>
      <c r="AW291" s="182">
        <f t="shared" si="1082"/>
        <v>0</v>
      </c>
      <c r="AX291" s="182">
        <v>5</v>
      </c>
      <c r="AY291" s="187">
        <f t="shared" si="1083"/>
        <v>511820.94348000002</v>
      </c>
      <c r="AZ291" s="182"/>
      <c r="BA291" s="182">
        <f t="shared" si="1084"/>
        <v>0</v>
      </c>
      <c r="BB291" s="182"/>
      <c r="BC291" s="182">
        <f t="shared" si="1085"/>
        <v>0</v>
      </c>
      <c r="BD291" s="182"/>
      <c r="BE291" s="182">
        <f t="shared" si="1086"/>
        <v>0</v>
      </c>
      <c r="BF291" s="182"/>
      <c r="BG291" s="182">
        <f t="shared" si="1087"/>
        <v>0</v>
      </c>
      <c r="BH291" s="182"/>
      <c r="BI291" s="183">
        <f t="shared" si="1088"/>
        <v>0</v>
      </c>
      <c r="BJ291" s="182"/>
      <c r="BK291" s="183">
        <f t="shared" si="1089"/>
        <v>0</v>
      </c>
      <c r="BL291" s="182"/>
      <c r="BM291" s="182">
        <f t="shared" si="1124"/>
        <v>0</v>
      </c>
      <c r="BN291" s="182">
        <v>103</v>
      </c>
      <c r="BO291" s="182">
        <f t="shared" si="1091"/>
        <v>10543511.435688002</v>
      </c>
      <c r="BP291" s="182"/>
      <c r="BQ291" s="182">
        <f t="shared" si="1092"/>
        <v>0</v>
      </c>
      <c r="BR291" s="182"/>
      <c r="BS291" s="183">
        <f t="shared" si="1093"/>
        <v>0</v>
      </c>
      <c r="BT291" s="182"/>
      <c r="BU291" s="182">
        <f t="shared" si="1117"/>
        <v>0</v>
      </c>
      <c r="BV291" s="182"/>
      <c r="BW291" s="182">
        <f t="shared" si="1095"/>
        <v>0</v>
      </c>
      <c r="BX291" s="182"/>
      <c r="BY291" s="183">
        <f t="shared" si="1118"/>
        <v>0</v>
      </c>
      <c r="BZ291" s="182"/>
      <c r="CA291" s="187">
        <f t="shared" si="1119"/>
        <v>0</v>
      </c>
      <c r="CB291" s="182"/>
      <c r="CC291" s="182">
        <f t="shared" si="1098"/>
        <v>0</v>
      </c>
      <c r="CD291" s="182"/>
      <c r="CE291" s="182">
        <f t="shared" si="1099"/>
        <v>0</v>
      </c>
      <c r="CF291" s="182"/>
      <c r="CG291" s="182">
        <f t="shared" si="1100"/>
        <v>0</v>
      </c>
      <c r="CH291" s="182"/>
      <c r="CI291" s="182">
        <f t="shared" si="1120"/>
        <v>0</v>
      </c>
      <c r="CJ291" s="182"/>
      <c r="CK291" s="182"/>
      <c r="CL291" s="182"/>
      <c r="CM291" s="183">
        <f t="shared" si="1102"/>
        <v>0</v>
      </c>
      <c r="CN291" s="182"/>
      <c r="CO291" s="183">
        <f t="shared" si="1103"/>
        <v>0</v>
      </c>
      <c r="CP291" s="182"/>
      <c r="CQ291" s="182">
        <f t="shared" si="1121"/>
        <v>0</v>
      </c>
      <c r="CR291" s="182"/>
      <c r="CS291" s="182">
        <f t="shared" si="1122"/>
        <v>0</v>
      </c>
      <c r="CT291" s="182"/>
      <c r="CU291" s="182">
        <f t="shared" si="1123"/>
        <v>0</v>
      </c>
      <c r="CV291" s="182">
        <v>4</v>
      </c>
      <c r="CW291" s="182">
        <v>372233.4</v>
      </c>
      <c r="CX291" s="182"/>
      <c r="CY291" s="182">
        <f t="shared" si="1107"/>
        <v>0</v>
      </c>
      <c r="CZ291" s="182"/>
      <c r="DA291" s="182">
        <v>0</v>
      </c>
      <c r="DB291" s="188"/>
      <c r="DC291" s="182">
        <f t="shared" si="1108"/>
        <v>0</v>
      </c>
      <c r="DD291" s="182"/>
      <c r="DE291" s="187">
        <f t="shared" si="1109"/>
        <v>0</v>
      </c>
      <c r="DF291" s="182"/>
      <c r="DG291" s="182">
        <f t="shared" si="1110"/>
        <v>0</v>
      </c>
      <c r="DH291" s="189"/>
      <c r="DI291" s="182">
        <f t="shared" si="1111"/>
        <v>0</v>
      </c>
      <c r="DJ291" s="182"/>
      <c r="DK291" s="182">
        <f t="shared" si="1126"/>
        <v>0</v>
      </c>
      <c r="DL291" s="182"/>
      <c r="DM291" s="182">
        <f t="shared" si="1113"/>
        <v>0</v>
      </c>
      <c r="DN291" s="182"/>
      <c r="DO291" s="190">
        <f t="shared" si="1114"/>
        <v>0</v>
      </c>
      <c r="DP291" s="187"/>
      <c r="DQ291" s="182"/>
      <c r="DR291" s="183">
        <f t="shared" si="1115"/>
        <v>418</v>
      </c>
      <c r="DS291" s="183">
        <f t="shared" si="1115"/>
        <v>37749802.98967687</v>
      </c>
      <c r="DT291" s="182">
        <v>418</v>
      </c>
      <c r="DU291" s="182">
        <v>37724305.466147996</v>
      </c>
      <c r="DV291" s="167">
        <f t="shared" si="1035"/>
        <v>0</v>
      </c>
      <c r="DW291" s="167">
        <f t="shared" si="1035"/>
        <v>25497.52352887392</v>
      </c>
    </row>
    <row r="292" spans="1:127" ht="18.75" customHeight="1" x14ac:dyDescent="0.25">
      <c r="A292" s="154"/>
      <c r="B292" s="176">
        <v>252</v>
      </c>
      <c r="C292" s="177" t="s">
        <v>663</v>
      </c>
      <c r="D292" s="210" t="s">
        <v>664</v>
      </c>
      <c r="E292" s="158">
        <v>25969</v>
      </c>
      <c r="F292" s="179">
        <v>4.13</v>
      </c>
      <c r="G292" s="243">
        <v>0.8</v>
      </c>
      <c r="H292" s="242"/>
      <c r="I292" s="242"/>
      <c r="J292" s="242"/>
      <c r="K292" s="106"/>
      <c r="L292" s="180">
        <v>1.4</v>
      </c>
      <c r="M292" s="180">
        <v>1.68</v>
      </c>
      <c r="N292" s="180">
        <v>2.23</v>
      </c>
      <c r="O292" s="181">
        <v>2.57</v>
      </c>
      <c r="P292" s="244">
        <v>185</v>
      </c>
      <c r="Q292" s="182">
        <f t="shared" si="1071"/>
        <v>24444869.002400003</v>
      </c>
      <c r="R292" s="182">
        <v>7</v>
      </c>
      <c r="S292" s="182">
        <f t="shared" si="1072"/>
        <v>924940.98927999998</v>
      </c>
      <c r="T292" s="182">
        <v>0</v>
      </c>
      <c r="U292" s="182">
        <f t="shared" si="1073"/>
        <v>0</v>
      </c>
      <c r="V292" s="182"/>
      <c r="W292" s="183">
        <f t="shared" si="1074"/>
        <v>0</v>
      </c>
      <c r="X292" s="183"/>
      <c r="Y292" s="183">
        <v>0</v>
      </c>
      <c r="Z292" s="183"/>
      <c r="AA292" s="183">
        <v>0</v>
      </c>
      <c r="AB292" s="182">
        <f t="shared" si="1075"/>
        <v>0</v>
      </c>
      <c r="AC292" s="182">
        <f t="shared" si="1075"/>
        <v>0</v>
      </c>
      <c r="AD292" s="182"/>
      <c r="AE292" s="182">
        <f t="shared" si="1076"/>
        <v>0</v>
      </c>
      <c r="AF292" s="182"/>
      <c r="AG292" s="182"/>
      <c r="AH292" s="182">
        <v>25</v>
      </c>
      <c r="AI292" s="182">
        <f t="shared" si="1077"/>
        <v>3303360.676</v>
      </c>
      <c r="AJ292" s="182"/>
      <c r="AK292" s="182"/>
      <c r="AL292" s="182"/>
      <c r="AM292" s="182"/>
      <c r="AN292" s="182"/>
      <c r="AO292" s="182">
        <f t="shared" si="1078"/>
        <v>0</v>
      </c>
      <c r="AP292" s="182"/>
      <c r="AQ292" s="183">
        <f t="shared" si="1079"/>
        <v>0</v>
      </c>
      <c r="AR292" s="182"/>
      <c r="AS292" s="182">
        <f t="shared" si="1116"/>
        <v>0</v>
      </c>
      <c r="AT292" s="182">
        <v>1</v>
      </c>
      <c r="AU292" s="182">
        <f t="shared" si="1081"/>
        <v>166114.52471310817</v>
      </c>
      <c r="AV292" s="188"/>
      <c r="AW292" s="182">
        <f t="shared" si="1082"/>
        <v>0</v>
      </c>
      <c r="AX292" s="182"/>
      <c r="AY292" s="187">
        <f t="shared" si="1083"/>
        <v>0</v>
      </c>
      <c r="AZ292" s="182"/>
      <c r="BA292" s="182">
        <f t="shared" si="1084"/>
        <v>0</v>
      </c>
      <c r="BB292" s="182"/>
      <c r="BC292" s="182">
        <f t="shared" si="1085"/>
        <v>0</v>
      </c>
      <c r="BD292" s="182"/>
      <c r="BE292" s="182">
        <f t="shared" si="1086"/>
        <v>0</v>
      </c>
      <c r="BF292" s="182"/>
      <c r="BG292" s="182">
        <f t="shared" si="1087"/>
        <v>0</v>
      </c>
      <c r="BH292" s="182"/>
      <c r="BI292" s="183">
        <f t="shared" si="1088"/>
        <v>0</v>
      </c>
      <c r="BJ292" s="182"/>
      <c r="BK292" s="183">
        <f t="shared" si="1089"/>
        <v>0</v>
      </c>
      <c r="BL292" s="182"/>
      <c r="BM292" s="182">
        <f t="shared" si="1124"/>
        <v>0</v>
      </c>
      <c r="BN292" s="182"/>
      <c r="BO292" s="182">
        <f t="shared" si="1091"/>
        <v>0</v>
      </c>
      <c r="BP292" s="182"/>
      <c r="BQ292" s="182">
        <f t="shared" si="1092"/>
        <v>0</v>
      </c>
      <c r="BR292" s="182"/>
      <c r="BS292" s="183">
        <f t="shared" si="1093"/>
        <v>0</v>
      </c>
      <c r="BT292" s="182"/>
      <c r="BU292" s="182">
        <f t="shared" si="1117"/>
        <v>0</v>
      </c>
      <c r="BV292" s="182"/>
      <c r="BW292" s="182">
        <f t="shared" si="1095"/>
        <v>0</v>
      </c>
      <c r="BX292" s="182"/>
      <c r="BY292" s="183">
        <f t="shared" si="1118"/>
        <v>0</v>
      </c>
      <c r="BZ292" s="182"/>
      <c r="CA292" s="187">
        <f t="shared" si="1119"/>
        <v>0</v>
      </c>
      <c r="CB292" s="182"/>
      <c r="CC292" s="182">
        <f t="shared" si="1098"/>
        <v>0</v>
      </c>
      <c r="CD292" s="182"/>
      <c r="CE292" s="182">
        <f t="shared" si="1099"/>
        <v>0</v>
      </c>
      <c r="CF292" s="182"/>
      <c r="CG292" s="182">
        <f t="shared" si="1100"/>
        <v>0</v>
      </c>
      <c r="CH292" s="182"/>
      <c r="CI292" s="182">
        <f t="shared" si="1120"/>
        <v>0</v>
      </c>
      <c r="CJ292" s="182"/>
      <c r="CK292" s="182"/>
      <c r="CL292" s="182"/>
      <c r="CM292" s="183">
        <f t="shared" si="1102"/>
        <v>0</v>
      </c>
      <c r="CN292" s="182"/>
      <c r="CO292" s="183">
        <f t="shared" si="1103"/>
        <v>0</v>
      </c>
      <c r="CP292" s="182"/>
      <c r="CQ292" s="182">
        <f t="shared" si="1121"/>
        <v>0</v>
      </c>
      <c r="CR292" s="182"/>
      <c r="CS292" s="182">
        <f t="shared" si="1122"/>
        <v>0</v>
      </c>
      <c r="CT292" s="182"/>
      <c r="CU292" s="182">
        <f t="shared" si="1123"/>
        <v>0</v>
      </c>
      <c r="CV292" s="182"/>
      <c r="CW292" s="182">
        <v>0</v>
      </c>
      <c r="CX292" s="182"/>
      <c r="CY292" s="182">
        <f t="shared" si="1107"/>
        <v>0</v>
      </c>
      <c r="CZ292" s="182"/>
      <c r="DA292" s="182">
        <v>0</v>
      </c>
      <c r="DB292" s="188"/>
      <c r="DC292" s="182">
        <f t="shared" si="1108"/>
        <v>0</v>
      </c>
      <c r="DD292" s="182"/>
      <c r="DE292" s="187">
        <f t="shared" si="1109"/>
        <v>0</v>
      </c>
      <c r="DF292" s="182"/>
      <c r="DG292" s="182">
        <f t="shared" si="1110"/>
        <v>0</v>
      </c>
      <c r="DH292" s="189"/>
      <c r="DI292" s="182">
        <f t="shared" si="1111"/>
        <v>0</v>
      </c>
      <c r="DJ292" s="182"/>
      <c r="DK292" s="182">
        <f t="shared" si="1126"/>
        <v>0</v>
      </c>
      <c r="DL292" s="182"/>
      <c r="DM292" s="182">
        <f t="shared" si="1113"/>
        <v>0</v>
      </c>
      <c r="DN292" s="182"/>
      <c r="DO292" s="190">
        <f t="shared" si="1114"/>
        <v>0</v>
      </c>
      <c r="DP292" s="187"/>
      <c r="DQ292" s="187"/>
      <c r="DR292" s="183">
        <f t="shared" si="1115"/>
        <v>218</v>
      </c>
      <c r="DS292" s="183">
        <f t="shared" si="1115"/>
        <v>28839285.192393109</v>
      </c>
      <c r="DT292" s="182">
        <v>218</v>
      </c>
      <c r="DU292" s="182">
        <v>28835335.646320004</v>
      </c>
      <c r="DV292" s="167">
        <f t="shared" si="1035"/>
        <v>0</v>
      </c>
      <c r="DW292" s="167">
        <f t="shared" si="1035"/>
        <v>3949.5460731051862</v>
      </c>
    </row>
    <row r="293" spans="1:127" ht="18.75" customHeight="1" x14ac:dyDescent="0.25">
      <c r="A293" s="154"/>
      <c r="B293" s="176">
        <v>253</v>
      </c>
      <c r="C293" s="177" t="s">
        <v>665</v>
      </c>
      <c r="D293" s="210" t="s">
        <v>666</v>
      </c>
      <c r="E293" s="158">
        <v>25969</v>
      </c>
      <c r="F293" s="179">
        <v>6.08</v>
      </c>
      <c r="G293" s="243">
        <v>0.8</v>
      </c>
      <c r="H293" s="242"/>
      <c r="I293" s="242"/>
      <c r="J293" s="242"/>
      <c r="K293" s="106"/>
      <c r="L293" s="180">
        <v>1.4</v>
      </c>
      <c r="M293" s="180">
        <v>1.68</v>
      </c>
      <c r="N293" s="180">
        <v>2.23</v>
      </c>
      <c r="O293" s="181">
        <v>2.57</v>
      </c>
      <c r="P293" s="244">
        <v>168</v>
      </c>
      <c r="Q293" s="182">
        <f t="shared" si="1071"/>
        <v>32679755.243520003</v>
      </c>
      <c r="R293" s="182">
        <v>9</v>
      </c>
      <c r="S293" s="182">
        <f t="shared" si="1072"/>
        <v>1750701.1737599999</v>
      </c>
      <c r="T293" s="182"/>
      <c r="U293" s="182">
        <f t="shared" si="1073"/>
        <v>0</v>
      </c>
      <c r="V293" s="182"/>
      <c r="W293" s="183">
        <f t="shared" si="1074"/>
        <v>0</v>
      </c>
      <c r="X293" s="183"/>
      <c r="Y293" s="183">
        <v>0</v>
      </c>
      <c r="Z293" s="183"/>
      <c r="AA293" s="183">
        <v>0</v>
      </c>
      <c r="AB293" s="182">
        <f t="shared" si="1075"/>
        <v>0</v>
      </c>
      <c r="AC293" s="182">
        <f t="shared" si="1075"/>
        <v>0</v>
      </c>
      <c r="AD293" s="182"/>
      <c r="AE293" s="182">
        <f t="shared" si="1076"/>
        <v>0</v>
      </c>
      <c r="AF293" s="182"/>
      <c r="AG293" s="182"/>
      <c r="AH293" s="182">
        <v>3</v>
      </c>
      <c r="AI293" s="182">
        <f t="shared" si="1077"/>
        <v>583567.05792000005</v>
      </c>
      <c r="AJ293" s="182"/>
      <c r="AK293" s="182"/>
      <c r="AL293" s="182"/>
      <c r="AM293" s="182"/>
      <c r="AN293" s="184"/>
      <c r="AO293" s="182">
        <f t="shared" si="1078"/>
        <v>0</v>
      </c>
      <c r="AP293" s="182"/>
      <c r="AQ293" s="183">
        <f t="shared" si="1079"/>
        <v>0</v>
      </c>
      <c r="AR293" s="182"/>
      <c r="AS293" s="182">
        <f t="shared" si="1116"/>
        <v>0</v>
      </c>
      <c r="AT293" s="182"/>
      <c r="AU293" s="182">
        <f t="shared" si="1081"/>
        <v>0</v>
      </c>
      <c r="AV293" s="188"/>
      <c r="AW293" s="182">
        <f t="shared" si="1082"/>
        <v>0</v>
      </c>
      <c r="AX293" s="182"/>
      <c r="AY293" s="187">
        <f t="shared" si="1083"/>
        <v>0</v>
      </c>
      <c r="AZ293" s="182"/>
      <c r="BA293" s="182">
        <f t="shared" si="1084"/>
        <v>0</v>
      </c>
      <c r="BB293" s="182">
        <v>0</v>
      </c>
      <c r="BC293" s="182">
        <f t="shared" si="1085"/>
        <v>0</v>
      </c>
      <c r="BD293" s="182"/>
      <c r="BE293" s="182">
        <f t="shared" si="1086"/>
        <v>0</v>
      </c>
      <c r="BF293" s="182"/>
      <c r="BG293" s="182">
        <f t="shared" si="1087"/>
        <v>0</v>
      </c>
      <c r="BH293" s="182"/>
      <c r="BI293" s="183">
        <f t="shared" si="1088"/>
        <v>0</v>
      </c>
      <c r="BJ293" s="182"/>
      <c r="BK293" s="183">
        <f t="shared" si="1089"/>
        <v>0</v>
      </c>
      <c r="BL293" s="182"/>
      <c r="BM293" s="182">
        <f t="shared" si="1124"/>
        <v>0</v>
      </c>
      <c r="BN293" s="182">
        <v>3</v>
      </c>
      <c r="BO293" s="182">
        <f t="shared" si="1091"/>
        <v>700280.46950400015</v>
      </c>
      <c r="BP293" s="182"/>
      <c r="BQ293" s="182">
        <f t="shared" si="1092"/>
        <v>0</v>
      </c>
      <c r="BR293" s="182"/>
      <c r="BS293" s="183">
        <f t="shared" si="1093"/>
        <v>0</v>
      </c>
      <c r="BT293" s="182"/>
      <c r="BU293" s="182">
        <f t="shared" si="1117"/>
        <v>0</v>
      </c>
      <c r="BV293" s="182"/>
      <c r="BW293" s="182">
        <f t="shared" si="1095"/>
        <v>0</v>
      </c>
      <c r="BX293" s="182"/>
      <c r="BY293" s="183">
        <f t="shared" si="1118"/>
        <v>0</v>
      </c>
      <c r="BZ293" s="182"/>
      <c r="CA293" s="187">
        <f t="shared" si="1119"/>
        <v>0</v>
      </c>
      <c r="CB293" s="182"/>
      <c r="CC293" s="182">
        <f t="shared" si="1098"/>
        <v>0</v>
      </c>
      <c r="CD293" s="182"/>
      <c r="CE293" s="182">
        <f t="shared" si="1099"/>
        <v>0</v>
      </c>
      <c r="CF293" s="182"/>
      <c r="CG293" s="182">
        <f t="shared" si="1100"/>
        <v>0</v>
      </c>
      <c r="CH293" s="182"/>
      <c r="CI293" s="182">
        <f t="shared" si="1120"/>
        <v>0</v>
      </c>
      <c r="CJ293" s="182"/>
      <c r="CK293" s="182"/>
      <c r="CL293" s="182"/>
      <c r="CM293" s="183">
        <f t="shared" si="1102"/>
        <v>0</v>
      </c>
      <c r="CN293" s="182"/>
      <c r="CO293" s="183">
        <f t="shared" si="1103"/>
        <v>0</v>
      </c>
      <c r="CP293" s="182"/>
      <c r="CQ293" s="182">
        <f t="shared" si="1121"/>
        <v>0</v>
      </c>
      <c r="CR293" s="182"/>
      <c r="CS293" s="182">
        <f t="shared" si="1122"/>
        <v>0</v>
      </c>
      <c r="CT293" s="182"/>
      <c r="CU293" s="182">
        <f t="shared" si="1123"/>
        <v>0</v>
      </c>
      <c r="CV293" s="182"/>
      <c r="CW293" s="182">
        <v>0</v>
      </c>
      <c r="CX293" s="182"/>
      <c r="CY293" s="182">
        <f t="shared" si="1107"/>
        <v>0</v>
      </c>
      <c r="CZ293" s="182"/>
      <c r="DA293" s="182">
        <v>0</v>
      </c>
      <c r="DB293" s="188"/>
      <c r="DC293" s="182">
        <f t="shared" si="1108"/>
        <v>0</v>
      </c>
      <c r="DD293" s="182"/>
      <c r="DE293" s="187">
        <f t="shared" si="1109"/>
        <v>0</v>
      </c>
      <c r="DF293" s="182"/>
      <c r="DG293" s="182">
        <f t="shared" si="1110"/>
        <v>0</v>
      </c>
      <c r="DH293" s="189"/>
      <c r="DI293" s="182">
        <f t="shared" si="1111"/>
        <v>0</v>
      </c>
      <c r="DJ293" s="182">
        <v>2</v>
      </c>
      <c r="DK293" s="182">
        <f>(DJ293/12*11*$E293*$F293*$G293*$M293*$DK$12)+(DJ293/12*1*$E293*$F293*$M293*$G293*$DK$12*$DK$15)</f>
        <v>462478.661786624</v>
      </c>
      <c r="DL293" s="182"/>
      <c r="DM293" s="182">
        <f t="shared" si="1113"/>
        <v>0</v>
      </c>
      <c r="DN293" s="182"/>
      <c r="DO293" s="190">
        <f t="shared" si="1114"/>
        <v>0</v>
      </c>
      <c r="DP293" s="187"/>
      <c r="DQ293" s="187"/>
      <c r="DR293" s="183">
        <f t="shared" si="1115"/>
        <v>185</v>
      </c>
      <c r="DS293" s="183">
        <f t="shared" si="1115"/>
        <v>36176782.606490627</v>
      </c>
      <c r="DT293" s="182">
        <v>182</v>
      </c>
      <c r="DU293" s="182">
        <v>35555149.292544</v>
      </c>
      <c r="DV293" s="167">
        <f t="shared" si="1035"/>
        <v>3</v>
      </c>
      <c r="DW293" s="167">
        <f t="shared" si="1035"/>
        <v>621633.31394662708</v>
      </c>
    </row>
    <row r="294" spans="1:127" ht="21.75" customHeight="1" x14ac:dyDescent="0.25">
      <c r="A294" s="154"/>
      <c r="B294" s="176">
        <v>254</v>
      </c>
      <c r="C294" s="177" t="s">
        <v>667</v>
      </c>
      <c r="D294" s="210" t="s">
        <v>668</v>
      </c>
      <c r="E294" s="158">
        <v>25969</v>
      </c>
      <c r="F294" s="179">
        <v>7.12</v>
      </c>
      <c r="G294" s="243">
        <v>0.8</v>
      </c>
      <c r="H294" s="242"/>
      <c r="I294" s="242"/>
      <c r="J294" s="242"/>
      <c r="K294" s="106"/>
      <c r="L294" s="180">
        <v>1.4</v>
      </c>
      <c r="M294" s="180">
        <v>1.68</v>
      </c>
      <c r="N294" s="180">
        <v>2.23</v>
      </c>
      <c r="O294" s="181">
        <v>2.57</v>
      </c>
      <c r="P294" s="244">
        <v>95</v>
      </c>
      <c r="Q294" s="182">
        <f t="shared" si="1071"/>
        <v>21640611.731200002</v>
      </c>
      <c r="R294" s="182">
        <v>26</v>
      </c>
      <c r="S294" s="182">
        <f t="shared" si="1072"/>
        <v>5922693.7369600004</v>
      </c>
      <c r="T294" s="182"/>
      <c r="U294" s="182">
        <f t="shared" si="1073"/>
        <v>0</v>
      </c>
      <c r="V294" s="182"/>
      <c r="W294" s="183">
        <f t="shared" si="1074"/>
        <v>0</v>
      </c>
      <c r="X294" s="183"/>
      <c r="Y294" s="183">
        <v>0</v>
      </c>
      <c r="Z294" s="183"/>
      <c r="AA294" s="183">
        <v>0</v>
      </c>
      <c r="AB294" s="182">
        <f t="shared" si="1075"/>
        <v>0</v>
      </c>
      <c r="AC294" s="182">
        <f t="shared" si="1075"/>
        <v>0</v>
      </c>
      <c r="AD294" s="182"/>
      <c r="AE294" s="182">
        <f t="shared" si="1076"/>
        <v>0</v>
      </c>
      <c r="AF294" s="182"/>
      <c r="AG294" s="182"/>
      <c r="AH294" s="182">
        <v>4</v>
      </c>
      <c r="AI294" s="182">
        <f t="shared" si="1077"/>
        <v>911183.65184000006</v>
      </c>
      <c r="AJ294" s="182"/>
      <c r="AK294" s="182"/>
      <c r="AL294" s="182"/>
      <c r="AM294" s="182"/>
      <c r="AN294" s="184"/>
      <c r="AO294" s="182">
        <f t="shared" si="1078"/>
        <v>0</v>
      </c>
      <c r="AP294" s="182"/>
      <c r="AQ294" s="183">
        <f t="shared" si="1079"/>
        <v>0</v>
      </c>
      <c r="AR294" s="182"/>
      <c r="AS294" s="182">
        <f t="shared" si="1116"/>
        <v>0</v>
      </c>
      <c r="AT294" s="182">
        <v>1</v>
      </c>
      <c r="AU294" s="182">
        <f t="shared" si="1081"/>
        <v>286376.61403325183</v>
      </c>
      <c r="AV294" s="188"/>
      <c r="AW294" s="182">
        <f t="shared" si="1082"/>
        <v>0</v>
      </c>
      <c r="AX294" s="182"/>
      <c r="AY294" s="187">
        <f t="shared" si="1083"/>
        <v>0</v>
      </c>
      <c r="AZ294" s="182"/>
      <c r="BA294" s="182">
        <f t="shared" si="1084"/>
        <v>0</v>
      </c>
      <c r="BB294" s="182">
        <v>0</v>
      </c>
      <c r="BC294" s="182">
        <f t="shared" si="1085"/>
        <v>0</v>
      </c>
      <c r="BD294" s="182"/>
      <c r="BE294" s="182">
        <f t="shared" si="1086"/>
        <v>0</v>
      </c>
      <c r="BF294" s="182"/>
      <c r="BG294" s="182">
        <f t="shared" si="1087"/>
        <v>0</v>
      </c>
      <c r="BH294" s="182"/>
      <c r="BI294" s="183">
        <f t="shared" si="1088"/>
        <v>0</v>
      </c>
      <c r="BJ294" s="182"/>
      <c r="BK294" s="183">
        <f t="shared" si="1089"/>
        <v>0</v>
      </c>
      <c r="BL294" s="182"/>
      <c r="BM294" s="182">
        <f t="shared" si="1124"/>
        <v>0</v>
      </c>
      <c r="BN294" s="182">
        <v>100</v>
      </c>
      <c r="BO294" s="182">
        <f t="shared" si="1091"/>
        <v>27335509.555200003</v>
      </c>
      <c r="BP294" s="182"/>
      <c r="BQ294" s="182">
        <f t="shared" si="1092"/>
        <v>0</v>
      </c>
      <c r="BR294" s="182"/>
      <c r="BS294" s="183">
        <f t="shared" si="1093"/>
        <v>0</v>
      </c>
      <c r="BT294" s="182"/>
      <c r="BU294" s="182">
        <f t="shared" si="1117"/>
        <v>0</v>
      </c>
      <c r="BV294" s="182"/>
      <c r="BW294" s="182">
        <f t="shared" si="1095"/>
        <v>0</v>
      </c>
      <c r="BX294" s="182"/>
      <c r="BY294" s="183">
        <f t="shared" si="1118"/>
        <v>0</v>
      </c>
      <c r="BZ294" s="182">
        <v>10</v>
      </c>
      <c r="CA294" s="187">
        <f t="shared" ref="CA294" si="1128">(BZ294*$E294*$F294*$G294*$M294*$CA$12)/12*11+(BZ294*$E294*$F294*$G294*$M294*$CA$12*$CA$15)/12</f>
        <v>3247769.1659481609</v>
      </c>
      <c r="CB294" s="182"/>
      <c r="CC294" s="182">
        <f t="shared" si="1098"/>
        <v>0</v>
      </c>
      <c r="CD294" s="182"/>
      <c r="CE294" s="182">
        <f t="shared" si="1099"/>
        <v>0</v>
      </c>
      <c r="CF294" s="182"/>
      <c r="CG294" s="182">
        <f t="shared" si="1100"/>
        <v>0</v>
      </c>
      <c r="CH294" s="182"/>
      <c r="CI294" s="182">
        <f t="shared" si="1120"/>
        <v>0</v>
      </c>
      <c r="CJ294" s="182"/>
      <c r="CK294" s="182"/>
      <c r="CL294" s="182"/>
      <c r="CM294" s="183">
        <f t="shared" si="1102"/>
        <v>0</v>
      </c>
      <c r="CN294" s="182"/>
      <c r="CO294" s="183">
        <f t="shared" si="1103"/>
        <v>0</v>
      </c>
      <c r="CP294" s="182"/>
      <c r="CQ294" s="182">
        <f t="shared" si="1121"/>
        <v>0</v>
      </c>
      <c r="CR294" s="182"/>
      <c r="CS294" s="182">
        <f t="shared" si="1122"/>
        <v>0</v>
      </c>
      <c r="CT294" s="182"/>
      <c r="CU294" s="182">
        <f t="shared" si="1123"/>
        <v>0</v>
      </c>
      <c r="CV294" s="182"/>
      <c r="CW294" s="182">
        <v>0</v>
      </c>
      <c r="CX294" s="182"/>
      <c r="CY294" s="182">
        <f t="shared" si="1107"/>
        <v>0</v>
      </c>
      <c r="CZ294" s="182"/>
      <c r="DA294" s="182">
        <v>0</v>
      </c>
      <c r="DB294" s="188"/>
      <c r="DC294" s="182">
        <f t="shared" si="1108"/>
        <v>0</v>
      </c>
      <c r="DD294" s="182"/>
      <c r="DE294" s="187">
        <f t="shared" si="1109"/>
        <v>0</v>
      </c>
      <c r="DF294" s="182"/>
      <c r="DG294" s="182">
        <f t="shared" si="1110"/>
        <v>0</v>
      </c>
      <c r="DH294" s="189"/>
      <c r="DI294" s="182">
        <f t="shared" si="1111"/>
        <v>0</v>
      </c>
      <c r="DJ294" s="182"/>
      <c r="DK294" s="182">
        <f t="shared" si="1126"/>
        <v>0</v>
      </c>
      <c r="DL294" s="182"/>
      <c r="DM294" s="182">
        <f t="shared" si="1113"/>
        <v>0</v>
      </c>
      <c r="DN294" s="182"/>
      <c r="DO294" s="190">
        <f t="shared" si="1114"/>
        <v>0</v>
      </c>
      <c r="DP294" s="187"/>
      <c r="DQ294" s="182"/>
      <c r="DR294" s="183">
        <f t="shared" si="1115"/>
        <v>236</v>
      </c>
      <c r="DS294" s="183">
        <f t="shared" si="1115"/>
        <v>59344144.45518142</v>
      </c>
      <c r="DT294" s="182">
        <v>225</v>
      </c>
      <c r="DU294" s="182">
        <v>56565866.931840003</v>
      </c>
      <c r="DV294" s="167">
        <f t="shared" si="1035"/>
        <v>11</v>
      </c>
      <c r="DW294" s="167">
        <f t="shared" si="1035"/>
        <v>2778277.5233414173</v>
      </c>
    </row>
    <row r="295" spans="1:127" ht="15.75" customHeight="1" x14ac:dyDescent="0.25">
      <c r="A295" s="170">
        <v>26</v>
      </c>
      <c r="B295" s="155"/>
      <c r="C295" s="156"/>
      <c r="D295" s="211" t="s">
        <v>669</v>
      </c>
      <c r="E295" s="158">
        <v>25969</v>
      </c>
      <c r="F295" s="262">
        <v>0.79</v>
      </c>
      <c r="G295" s="171"/>
      <c r="H295" s="169"/>
      <c r="I295" s="169"/>
      <c r="J295" s="169"/>
      <c r="K295" s="173"/>
      <c r="L295" s="174">
        <v>1.4</v>
      </c>
      <c r="M295" s="174">
        <v>1.68</v>
      </c>
      <c r="N295" s="174">
        <v>2.23</v>
      </c>
      <c r="O295" s="175">
        <v>2.57</v>
      </c>
      <c r="P295" s="166">
        <f t="shared" ref="P295:CA295" si="1129">SUM(P296)</f>
        <v>24</v>
      </c>
      <c r="Q295" s="166">
        <f t="shared" si="1129"/>
        <v>758253.2496000001</v>
      </c>
      <c r="R295" s="166">
        <f t="shared" si="1129"/>
        <v>0</v>
      </c>
      <c r="S295" s="166">
        <f t="shared" si="1129"/>
        <v>0</v>
      </c>
      <c r="T295" s="166">
        <f t="shared" si="1129"/>
        <v>0</v>
      </c>
      <c r="U295" s="166">
        <f t="shared" si="1129"/>
        <v>0</v>
      </c>
      <c r="V295" s="166">
        <f t="shared" si="1129"/>
        <v>0</v>
      </c>
      <c r="W295" s="166">
        <f t="shared" si="1129"/>
        <v>0</v>
      </c>
      <c r="X295" s="166">
        <v>0</v>
      </c>
      <c r="Y295" s="166">
        <v>0</v>
      </c>
      <c r="Z295" s="166">
        <v>0</v>
      </c>
      <c r="AA295" s="166">
        <v>0</v>
      </c>
      <c r="AB295" s="166">
        <f t="shared" si="1129"/>
        <v>0</v>
      </c>
      <c r="AC295" s="166">
        <f t="shared" si="1129"/>
        <v>0</v>
      </c>
      <c r="AD295" s="166">
        <f t="shared" si="1129"/>
        <v>0</v>
      </c>
      <c r="AE295" s="166">
        <f t="shared" si="1129"/>
        <v>0</v>
      </c>
      <c r="AF295" s="166">
        <f t="shared" si="1129"/>
        <v>0</v>
      </c>
      <c r="AG295" s="166">
        <f t="shared" si="1129"/>
        <v>0</v>
      </c>
      <c r="AH295" s="166">
        <f t="shared" si="1129"/>
        <v>0</v>
      </c>
      <c r="AI295" s="166">
        <f t="shared" si="1129"/>
        <v>0</v>
      </c>
      <c r="AJ295" s="166">
        <f>SUM(AJ296)</f>
        <v>0</v>
      </c>
      <c r="AK295" s="166">
        <f>SUM(AK296)</f>
        <v>0</v>
      </c>
      <c r="AL295" s="166">
        <f t="shared" si="1129"/>
        <v>0</v>
      </c>
      <c r="AM295" s="166">
        <f t="shared" si="1129"/>
        <v>0</v>
      </c>
      <c r="AN295" s="166">
        <f t="shared" si="1129"/>
        <v>31</v>
      </c>
      <c r="AO295" s="166">
        <f t="shared" si="1129"/>
        <v>979411</v>
      </c>
      <c r="AP295" s="166">
        <f t="shared" si="1129"/>
        <v>0</v>
      </c>
      <c r="AQ295" s="166">
        <f t="shared" si="1129"/>
        <v>0</v>
      </c>
      <c r="AR295" s="166">
        <f t="shared" si="1129"/>
        <v>0</v>
      </c>
      <c r="AS295" s="166">
        <f t="shared" si="1129"/>
        <v>0</v>
      </c>
      <c r="AT295" s="166">
        <f t="shared" si="1129"/>
        <v>0</v>
      </c>
      <c r="AU295" s="166">
        <f t="shared" si="1129"/>
        <v>0</v>
      </c>
      <c r="AV295" s="166">
        <f t="shared" si="1129"/>
        <v>0</v>
      </c>
      <c r="AW295" s="166">
        <f t="shared" si="1129"/>
        <v>0</v>
      </c>
      <c r="AX295" s="166">
        <f t="shared" si="1129"/>
        <v>0</v>
      </c>
      <c r="AY295" s="166">
        <f t="shared" si="1129"/>
        <v>0</v>
      </c>
      <c r="AZ295" s="166">
        <f t="shared" si="1129"/>
        <v>0</v>
      </c>
      <c r="BA295" s="166">
        <f t="shared" si="1129"/>
        <v>0</v>
      </c>
      <c r="BB295" s="166">
        <f t="shared" si="1129"/>
        <v>0</v>
      </c>
      <c r="BC295" s="166">
        <f t="shared" si="1129"/>
        <v>0</v>
      </c>
      <c r="BD295" s="166">
        <f t="shared" si="1129"/>
        <v>0</v>
      </c>
      <c r="BE295" s="166">
        <f t="shared" si="1129"/>
        <v>0</v>
      </c>
      <c r="BF295" s="166">
        <f t="shared" si="1129"/>
        <v>0</v>
      </c>
      <c r="BG295" s="166">
        <f t="shared" si="1129"/>
        <v>0</v>
      </c>
      <c r="BH295" s="166">
        <f t="shared" si="1129"/>
        <v>0</v>
      </c>
      <c r="BI295" s="166">
        <f t="shared" si="1129"/>
        <v>0</v>
      </c>
      <c r="BJ295" s="166">
        <f t="shared" si="1129"/>
        <v>0</v>
      </c>
      <c r="BK295" s="166">
        <f t="shared" si="1129"/>
        <v>0</v>
      </c>
      <c r="BL295" s="166">
        <f t="shared" si="1129"/>
        <v>2</v>
      </c>
      <c r="BM295" s="166">
        <f t="shared" si="1129"/>
        <v>80184.017389784</v>
      </c>
      <c r="BN295" s="166">
        <f t="shared" si="1129"/>
        <v>0</v>
      </c>
      <c r="BO295" s="166">
        <f t="shared" si="1129"/>
        <v>0</v>
      </c>
      <c r="BP295" s="166">
        <f t="shared" si="1129"/>
        <v>0</v>
      </c>
      <c r="BQ295" s="166">
        <f t="shared" si="1129"/>
        <v>0</v>
      </c>
      <c r="BR295" s="166">
        <f t="shared" si="1129"/>
        <v>0</v>
      </c>
      <c r="BS295" s="166">
        <f t="shared" si="1129"/>
        <v>0</v>
      </c>
      <c r="BT295" s="166">
        <f t="shared" si="1129"/>
        <v>1</v>
      </c>
      <c r="BU295" s="166">
        <f t="shared" si="1129"/>
        <v>38395.233229942409</v>
      </c>
      <c r="BV295" s="166">
        <f t="shared" si="1129"/>
        <v>3</v>
      </c>
      <c r="BW295" s="166">
        <f t="shared" si="1129"/>
        <v>93058.353360000008</v>
      </c>
      <c r="BX295" s="166">
        <f t="shared" si="1129"/>
        <v>3</v>
      </c>
      <c r="BY295" s="166">
        <f t="shared" si="1129"/>
        <v>139451.044455072</v>
      </c>
      <c r="BZ295" s="166">
        <f t="shared" si="1129"/>
        <v>5</v>
      </c>
      <c r="CA295" s="166">
        <f t="shared" si="1129"/>
        <v>225222.75641669999</v>
      </c>
      <c r="CB295" s="166">
        <f t="shared" ref="CB295:DQ295" si="1130">SUM(CB296)</f>
        <v>0</v>
      </c>
      <c r="CC295" s="166">
        <f t="shared" si="1130"/>
        <v>0</v>
      </c>
      <c r="CD295" s="166">
        <f t="shared" si="1130"/>
        <v>0</v>
      </c>
      <c r="CE295" s="166">
        <f t="shared" si="1130"/>
        <v>0</v>
      </c>
      <c r="CF295" s="166">
        <f t="shared" si="1130"/>
        <v>0</v>
      </c>
      <c r="CG295" s="166">
        <f t="shared" si="1130"/>
        <v>0</v>
      </c>
      <c r="CH295" s="166">
        <f t="shared" si="1130"/>
        <v>0</v>
      </c>
      <c r="CI295" s="166">
        <f t="shared" si="1130"/>
        <v>0</v>
      </c>
      <c r="CJ295" s="166">
        <f t="shared" si="1130"/>
        <v>0</v>
      </c>
      <c r="CK295" s="166">
        <f t="shared" si="1130"/>
        <v>0</v>
      </c>
      <c r="CL295" s="166">
        <f t="shared" si="1130"/>
        <v>0</v>
      </c>
      <c r="CM295" s="166">
        <f t="shared" si="1130"/>
        <v>0</v>
      </c>
      <c r="CN295" s="166">
        <f t="shared" si="1130"/>
        <v>0</v>
      </c>
      <c r="CO295" s="166">
        <f t="shared" si="1130"/>
        <v>0</v>
      </c>
      <c r="CP295" s="166">
        <f t="shared" si="1130"/>
        <v>0</v>
      </c>
      <c r="CQ295" s="166">
        <f t="shared" si="1130"/>
        <v>0</v>
      </c>
      <c r="CR295" s="166">
        <f t="shared" si="1130"/>
        <v>4</v>
      </c>
      <c r="CS295" s="166">
        <f t="shared" si="1130"/>
        <v>137734.21357462666</v>
      </c>
      <c r="CT295" s="166">
        <f t="shared" si="1130"/>
        <v>0</v>
      </c>
      <c r="CU295" s="166">
        <f t="shared" si="1130"/>
        <v>0</v>
      </c>
      <c r="CV295" s="166">
        <f t="shared" si="1130"/>
        <v>1</v>
      </c>
      <c r="CW295" s="166">
        <v>43191.64</v>
      </c>
      <c r="CX295" s="166">
        <f t="shared" si="1130"/>
        <v>2</v>
      </c>
      <c r="CY295" s="166">
        <f t="shared" si="1130"/>
        <v>74390.847675983998</v>
      </c>
      <c r="CZ295" s="166">
        <f t="shared" si="1130"/>
        <v>0</v>
      </c>
      <c r="DA295" s="166">
        <v>0</v>
      </c>
      <c r="DB295" s="166">
        <f t="shared" si="1130"/>
        <v>0</v>
      </c>
      <c r="DC295" s="166">
        <f t="shared" si="1130"/>
        <v>0</v>
      </c>
      <c r="DD295" s="166">
        <f t="shared" si="1130"/>
        <v>0</v>
      </c>
      <c r="DE295" s="166">
        <f t="shared" si="1130"/>
        <v>0</v>
      </c>
      <c r="DF295" s="166">
        <f t="shared" si="1130"/>
        <v>0</v>
      </c>
      <c r="DG295" s="166">
        <f t="shared" si="1130"/>
        <v>0</v>
      </c>
      <c r="DH295" s="166">
        <f t="shared" si="1130"/>
        <v>0</v>
      </c>
      <c r="DI295" s="166">
        <f t="shared" si="1130"/>
        <v>0</v>
      </c>
      <c r="DJ295" s="166">
        <f t="shared" si="1130"/>
        <v>1</v>
      </c>
      <c r="DK295" s="166">
        <f t="shared" si="1130"/>
        <v>37557.374877819995</v>
      </c>
      <c r="DL295" s="166">
        <f t="shared" si="1130"/>
        <v>0</v>
      </c>
      <c r="DM295" s="166">
        <f t="shared" si="1130"/>
        <v>0</v>
      </c>
      <c r="DN295" s="166">
        <f t="shared" si="1130"/>
        <v>2</v>
      </c>
      <c r="DO295" s="166">
        <f t="shared" si="1130"/>
        <v>105449.72140000001</v>
      </c>
      <c r="DP295" s="166">
        <f t="shared" si="1130"/>
        <v>0</v>
      </c>
      <c r="DQ295" s="166">
        <f t="shared" si="1130"/>
        <v>0</v>
      </c>
      <c r="DR295" s="166">
        <f>SUM(DR296)</f>
        <v>79</v>
      </c>
      <c r="DS295" s="166">
        <f t="shared" ref="DS295" si="1131">SUM(DS296)</f>
        <v>2712299.4519799291</v>
      </c>
      <c r="DT295" s="166">
        <v>79</v>
      </c>
      <c r="DU295" s="166">
        <v>2636899.7368666669</v>
      </c>
      <c r="DV295" s="167">
        <f t="shared" si="1035"/>
        <v>0</v>
      </c>
      <c r="DW295" s="167">
        <f t="shared" si="1035"/>
        <v>75399.71511326218</v>
      </c>
    </row>
    <row r="296" spans="1:127" ht="42.75" customHeight="1" x14ac:dyDescent="0.25">
      <c r="A296" s="154"/>
      <c r="B296" s="176">
        <v>255</v>
      </c>
      <c r="C296" s="177" t="s">
        <v>670</v>
      </c>
      <c r="D296" s="263" t="s">
        <v>671</v>
      </c>
      <c r="E296" s="158">
        <v>25969</v>
      </c>
      <c r="F296" s="179">
        <v>0.79</v>
      </c>
      <c r="G296" s="168">
        <v>1</v>
      </c>
      <c r="H296" s="169"/>
      <c r="I296" s="169"/>
      <c r="J296" s="169"/>
      <c r="K296" s="106"/>
      <c r="L296" s="180">
        <v>1.4</v>
      </c>
      <c r="M296" s="180">
        <v>1.68</v>
      </c>
      <c r="N296" s="180">
        <v>2.23</v>
      </c>
      <c r="O296" s="181">
        <v>2.57</v>
      </c>
      <c r="P296" s="182">
        <v>24</v>
      </c>
      <c r="Q296" s="182">
        <f>(P296*$E296*$F296*$G296*$L296*$Q$12)</f>
        <v>758253.2496000001</v>
      </c>
      <c r="R296" s="182"/>
      <c r="S296" s="182">
        <f>(R296*$E296*$F296*$G296*$L296*$S$12)</f>
        <v>0</v>
      </c>
      <c r="T296" s="182"/>
      <c r="U296" s="182">
        <f t="shared" ref="U296" si="1132">(T296/12*11*$E296*$F296*$G296*$L296*$U$12)+(T296/12*1*$E296*$F296*$G296*$L296*$U$14)</f>
        <v>0</v>
      </c>
      <c r="V296" s="182"/>
      <c r="W296" s="183">
        <f>(V296*$E296*$F296*$G296*$L296*$W$12)/12*10+(V296*$E296*$F296*$G296*$L296*$W$13)/12*1++(V296*$E296*$F296*$G296*$L296*$W$14)/12*1</f>
        <v>0</v>
      </c>
      <c r="X296" s="183"/>
      <c r="Y296" s="183">
        <v>0</v>
      </c>
      <c r="Z296" s="183"/>
      <c r="AA296" s="183">
        <v>0</v>
      </c>
      <c r="AB296" s="182">
        <f>X296+Z296</f>
        <v>0</v>
      </c>
      <c r="AC296" s="182">
        <f>Y296+AA296</f>
        <v>0</v>
      </c>
      <c r="AD296" s="182"/>
      <c r="AE296" s="182">
        <f>(AD296*$E296*$F296*$G296*$L296*$AE$12)</f>
        <v>0</v>
      </c>
      <c r="AF296" s="182"/>
      <c r="AG296" s="182"/>
      <c r="AH296" s="182"/>
      <c r="AI296" s="182">
        <f>(AH296*$E296*$F296*$G296*$L296*$AI$12)</f>
        <v>0</v>
      </c>
      <c r="AJ296" s="182"/>
      <c r="AK296" s="182"/>
      <c r="AL296" s="182"/>
      <c r="AM296" s="182"/>
      <c r="AN296" s="182">
        <v>31</v>
      </c>
      <c r="AO296" s="182">
        <v>979411</v>
      </c>
      <c r="AP296" s="182"/>
      <c r="AQ296" s="183">
        <f>(AP296*$E296*$F296*$G296*$L296*$AQ$12)</f>
        <v>0</v>
      </c>
      <c r="AR296" s="182"/>
      <c r="AS296" s="182">
        <f>(AR296*$E296*$F296*$G296*$L296*$AS$12)/12*10+(AR296*$E296*$F296*$G296*$L296*$AS$13)/12*1+(AR296*$E296*$F296*$G296*$L296*$AS$14)/12*1</f>
        <v>0</v>
      </c>
      <c r="AT296" s="182"/>
      <c r="AU296" s="182">
        <f>(AT296*$E296*$F296*$G296*$M296*$AU$12)</f>
        <v>0</v>
      </c>
      <c r="AV296" s="188"/>
      <c r="AW296" s="182">
        <f>(AV296*$E296*$F296*$G296*$M296*$AW$12)</f>
        <v>0</v>
      </c>
      <c r="AX296" s="182"/>
      <c r="AY296" s="187">
        <f>(AX296*$E296*$F296*$G296*$M296*$AY$12)</f>
        <v>0</v>
      </c>
      <c r="AZ296" s="209"/>
      <c r="BA296" s="182">
        <f>(AZ296*$E296*$F296*$G296*$L296*$BA$12)</f>
        <v>0</v>
      </c>
      <c r="BB296" s="182"/>
      <c r="BC296" s="182">
        <f>(BB296*$E296*$F296*$G296*$L296*$BC$12)</f>
        <v>0</v>
      </c>
      <c r="BD296" s="182"/>
      <c r="BE296" s="182">
        <f>(BD296*$E296*$F296*$G296*$L296*$BE$12)</f>
        <v>0</v>
      </c>
      <c r="BF296" s="182"/>
      <c r="BG296" s="182">
        <f>(BF296*$E296*$F296*$G296*$L296*$BG$12)</f>
        <v>0</v>
      </c>
      <c r="BH296" s="182"/>
      <c r="BI296" s="183">
        <f>(BH296*$E296*$F296*$G296*$L296*$BI$12)</f>
        <v>0</v>
      </c>
      <c r="BJ296" s="182"/>
      <c r="BK296" s="183">
        <f>(BJ296*$E296*$F296*$G296*$L296*$BK$12)</f>
        <v>0</v>
      </c>
      <c r="BL296" s="182">
        <v>2</v>
      </c>
      <c r="BM296" s="182">
        <f t="shared" ref="BM296" si="1133">(BL296/12*11*$E296*$F296*$G296*$L296*$BM$12)+(BL296/12*$E296*$F296*$G296*$L296*$BM$12*$BM$15)</f>
        <v>80184.017389784</v>
      </c>
      <c r="BN296" s="182"/>
      <c r="BO296" s="182">
        <f>(BN296*$E296*$F296*$G296*$M296*$BO$12)</f>
        <v>0</v>
      </c>
      <c r="BP296" s="182"/>
      <c r="BQ296" s="182">
        <f>(BP296*$E296*$F296*$G296*$M296*$BQ$12)</f>
        <v>0</v>
      </c>
      <c r="BR296" s="182"/>
      <c r="BS296" s="183">
        <f>(BR296*$E296*$F296*$G296*$M296*$BS$12)</f>
        <v>0</v>
      </c>
      <c r="BT296" s="182">
        <v>1</v>
      </c>
      <c r="BU296" s="182">
        <f t="shared" ref="BU296" si="1134">(BT296*$E296*$F296*$G296*$M296*$BU$12)/12*10+(BT296*$E296*$F296*$G296*$M296*$BU$13)/12+(BT296*$E296*$F296*$G296*$M296*$BU$13*$BU$15)/12</f>
        <v>38395.233229942409</v>
      </c>
      <c r="BV296" s="182">
        <v>3</v>
      </c>
      <c r="BW296" s="182">
        <f>(BV296*$E296*$F296*$G296*$M296*$BW$12)</f>
        <v>93058.353360000008</v>
      </c>
      <c r="BX296" s="182">
        <v>3</v>
      </c>
      <c r="BY296" s="183">
        <f t="shared" ref="BY296" si="1135">(BX296*$E296*$F296*$G296*$M296*$BY$12)/12*11+(BX296*$E296*$F296*$G296*$M296*$BY$12*$BY$15)/12</f>
        <v>139451.044455072</v>
      </c>
      <c r="BZ296" s="182">
        <v>5</v>
      </c>
      <c r="CA296" s="187">
        <f t="shared" ref="CA296" si="1136">(BZ296*$E296*$F296*$G296*$M296*$CA$12)/12*11+(BZ296*$E296*$F296*$G296*$M296*$CA$12*$CA$15)/12</f>
        <v>225222.75641669999</v>
      </c>
      <c r="CB296" s="182"/>
      <c r="CC296" s="182">
        <f>(CB296*$E296*$F296*$G296*$L296*$CC$12)</f>
        <v>0</v>
      </c>
      <c r="CD296" s="182"/>
      <c r="CE296" s="182">
        <f>(CD296*$E296*$F296*$G296*$L296*$CE$12)</f>
        <v>0</v>
      </c>
      <c r="CF296" s="182"/>
      <c r="CG296" s="182">
        <f>(CF296*$E296*$F296*$G296*$L296*$CG$12)</f>
        <v>0</v>
      </c>
      <c r="CH296" s="182"/>
      <c r="CI296" s="182">
        <f>(CH296*$E296*$F296*$G296*$M296*$CI$12)</f>
        <v>0</v>
      </c>
      <c r="CJ296" s="182"/>
      <c r="CK296" s="182"/>
      <c r="CL296" s="182"/>
      <c r="CM296" s="183">
        <f>(CL296*$E296*$F296*$G296*$L296*$CM$12)</f>
        <v>0</v>
      </c>
      <c r="CN296" s="182"/>
      <c r="CO296" s="183">
        <f>(CN296*$E296*$F296*$G296*$L296*$CO$12)</f>
        <v>0</v>
      </c>
      <c r="CP296" s="182"/>
      <c r="CQ296" s="182">
        <f>(CP296*$E296*$F296*$G296*$L296*$CQ$12)</f>
        <v>0</v>
      </c>
      <c r="CR296" s="182">
        <v>4</v>
      </c>
      <c r="CS296" s="182">
        <f t="shared" ref="CS296" si="1137">(CR296*$E296*$F296*$G296*$L296*$CS$12)/12*10+(CR296*$E296*$F296*$G296*$L296*$CS$13)/12+(CR296*$E296*$F296*$G296*$L296*$CS$13*$CS$15)/12</f>
        <v>137734.21357462666</v>
      </c>
      <c r="CT296" s="182"/>
      <c r="CU296" s="182">
        <f>(CT296*$E296*$F296*$G296*$L296*$CU$12)</f>
        <v>0</v>
      </c>
      <c r="CV296" s="182">
        <v>1</v>
      </c>
      <c r="CW296" s="182">
        <v>43191.64</v>
      </c>
      <c r="CX296" s="182">
        <v>2</v>
      </c>
      <c r="CY296" s="182">
        <f t="shared" ref="CY296" si="1138">(CX296/12*11*$E296*$F296*$G296*$M296*$CY$12)+(CX296/12*$E296*$F296*$G296*$M296*$CY$15*$CY$12)</f>
        <v>74390.847675983998</v>
      </c>
      <c r="CZ296" s="182"/>
      <c r="DA296" s="182">
        <v>0</v>
      </c>
      <c r="DB296" s="188"/>
      <c r="DC296" s="182">
        <f>(DB296*$E296*$F296*$G296*$M296*$DC$12)</f>
        <v>0</v>
      </c>
      <c r="DD296" s="182"/>
      <c r="DE296" s="187">
        <f>(DD296*$E296*$F296*$G296*$M296*DE$12)</f>
        <v>0</v>
      </c>
      <c r="DF296" s="182"/>
      <c r="DG296" s="182">
        <f>(DF296*$E296*$F296*$G296*$M296*$DG$12)</f>
        <v>0</v>
      </c>
      <c r="DH296" s="189"/>
      <c r="DI296" s="182">
        <f>(DH296*$E296*$F296*$G296*$M296*$DI$12)</f>
        <v>0</v>
      </c>
      <c r="DJ296" s="182">
        <v>1</v>
      </c>
      <c r="DK296" s="182">
        <f>(DJ296/12*11*$E296*$F296*$G296*$M296*$DK$12)+(DJ296/12*1*$E296*$F296*$M296*$G296*$DK$12*$DK$15)</f>
        <v>37557.374877819995</v>
      </c>
      <c r="DL296" s="182"/>
      <c r="DM296" s="182">
        <f>(DL296*$E296*$F296*$G296*$N296*$DM$12)</f>
        <v>0</v>
      </c>
      <c r="DN296" s="182">
        <f>ROUND(3*0.75,0)</f>
        <v>2</v>
      </c>
      <c r="DO296" s="190">
        <f>(DN296*$E296*$F296*$G296*$O296*$DO$12)</f>
        <v>105449.72140000001</v>
      </c>
      <c r="DP296" s="187"/>
      <c r="DQ296" s="187"/>
      <c r="DR296" s="183">
        <f>SUM(P296,R296,T296,V296,AB296,AJ296,AD296,AF296,AH296,AL296,AN296,AP296,AV296,AZ296,BB296,CF296,AR296,BF296,BH296,BJ296,CT296,BL296,BN296,AT296,BR296,AX296,CV296,BT296,CX296,BV296,BX296,BZ296,CH296,CB296,CD296,CJ296,CL296,CN296,CP296,CR296,CZ296,DB296,BP296,BD296,DD296,DF296,DH296,DJ296,DL296,DN296,DP296)</f>
        <v>79</v>
      </c>
      <c r="DS296" s="183">
        <f>SUM(Q296,S296,U296,W296,AC296,AK296,AE296,AG296,AI296,AM296,AO296,AQ296,AW296,BA296,BC296,CG296,AS296,BG296,BI296,BK296,CU296,BM296,BO296,AU296,BS296,AY296,CW296,BU296,CY296,BW296,BY296,CA296,CI296,CC296,CE296,CK296,CM296,CO296,CQ296,CS296,DA296,DC296,BQ296,BE296,DE296,DG296,DI296,DK296,DM296,DO296,DQ296)</f>
        <v>2712299.4519799291</v>
      </c>
      <c r="DT296" s="182">
        <v>79</v>
      </c>
      <c r="DU296" s="182">
        <v>2636899.7368666669</v>
      </c>
      <c r="DV296" s="167">
        <f t="shared" si="1035"/>
        <v>0</v>
      </c>
      <c r="DW296" s="167">
        <f t="shared" si="1035"/>
        <v>75399.71511326218</v>
      </c>
    </row>
    <row r="297" spans="1:127" ht="15.75" customHeight="1" x14ac:dyDescent="0.25">
      <c r="A297" s="170">
        <v>27</v>
      </c>
      <c r="B297" s="155"/>
      <c r="C297" s="156"/>
      <c r="D297" s="211" t="s">
        <v>672</v>
      </c>
      <c r="E297" s="158">
        <v>25969</v>
      </c>
      <c r="F297" s="262">
        <v>0.73</v>
      </c>
      <c r="G297" s="171"/>
      <c r="H297" s="169"/>
      <c r="I297" s="169"/>
      <c r="J297" s="169"/>
      <c r="K297" s="173"/>
      <c r="L297" s="174">
        <v>1.4</v>
      </c>
      <c r="M297" s="174">
        <v>1.68</v>
      </c>
      <c r="N297" s="174">
        <v>2.23</v>
      </c>
      <c r="O297" s="175">
        <v>2.57</v>
      </c>
      <c r="P297" s="166">
        <f t="shared" ref="P297:AD297" si="1139">SUM(P298:P311)</f>
        <v>1232</v>
      </c>
      <c r="Q297" s="166">
        <f t="shared" si="1139"/>
        <v>51327920.670600004</v>
      </c>
      <c r="R297" s="166">
        <f t="shared" ref="R297" si="1140">SUM(R298:R311)</f>
        <v>1274</v>
      </c>
      <c r="S297" s="166">
        <f t="shared" si="1139"/>
        <v>40788033.260799997</v>
      </c>
      <c r="T297" s="166">
        <f t="shared" si="1139"/>
        <v>380</v>
      </c>
      <c r="U297" s="166">
        <f t="shared" si="1139"/>
        <v>10539546.566675</v>
      </c>
      <c r="V297" s="166">
        <f t="shared" si="1139"/>
        <v>0</v>
      </c>
      <c r="W297" s="166">
        <f t="shared" si="1139"/>
        <v>0</v>
      </c>
      <c r="X297" s="166">
        <v>97</v>
      </c>
      <c r="Y297" s="166">
        <v>4858332.4579999987</v>
      </c>
      <c r="Z297" s="166">
        <v>0</v>
      </c>
      <c r="AA297" s="166">
        <v>0</v>
      </c>
      <c r="AB297" s="166">
        <f t="shared" si="1139"/>
        <v>97</v>
      </c>
      <c r="AC297" s="166">
        <f t="shared" si="1139"/>
        <v>4858332.4579999987</v>
      </c>
      <c r="AD297" s="166">
        <f t="shared" si="1139"/>
        <v>0</v>
      </c>
      <c r="AE297" s="166">
        <f t="shared" ref="AE297:CP297" si="1141">SUM(AE298:AE311)</f>
        <v>0</v>
      </c>
      <c r="AF297" s="166">
        <f t="shared" si="1141"/>
        <v>1</v>
      </c>
      <c r="AG297" s="166">
        <f t="shared" si="1141"/>
        <v>21195.897800000002</v>
      </c>
      <c r="AH297" s="166">
        <f t="shared" si="1141"/>
        <v>567</v>
      </c>
      <c r="AI297" s="166">
        <f t="shared" si="1141"/>
        <v>16934867.9234</v>
      </c>
      <c r="AJ297" s="166">
        <f>SUM(AJ298:AJ311)</f>
        <v>0</v>
      </c>
      <c r="AK297" s="166">
        <f>SUM(AK298:AK311)</f>
        <v>0</v>
      </c>
      <c r="AL297" s="166">
        <f t="shared" si="1141"/>
        <v>0</v>
      </c>
      <c r="AM297" s="166">
        <f t="shared" si="1141"/>
        <v>0</v>
      </c>
      <c r="AN297" s="166">
        <f t="shared" si="1141"/>
        <v>0</v>
      </c>
      <c r="AO297" s="166">
        <f t="shared" si="1141"/>
        <v>0</v>
      </c>
      <c r="AP297" s="166">
        <f t="shared" si="1141"/>
        <v>1484</v>
      </c>
      <c r="AQ297" s="166">
        <f t="shared" si="1141"/>
        <v>38506038.548600003</v>
      </c>
      <c r="AR297" s="166">
        <f t="shared" si="1141"/>
        <v>1926</v>
      </c>
      <c r="AS297" s="166">
        <f t="shared" si="1141"/>
        <v>54544027.663758256</v>
      </c>
      <c r="AT297" s="166">
        <f t="shared" si="1141"/>
        <v>1258</v>
      </c>
      <c r="AU297" s="166">
        <f t="shared" si="1141"/>
        <v>41957776.08644785</v>
      </c>
      <c r="AV297" s="166">
        <f t="shared" si="1141"/>
        <v>2</v>
      </c>
      <c r="AW297" s="166">
        <f t="shared" si="1141"/>
        <v>52746.159999999996</v>
      </c>
      <c r="AX297" s="166">
        <f t="shared" si="1141"/>
        <v>355</v>
      </c>
      <c r="AY297" s="166">
        <f t="shared" si="1141"/>
        <v>11702622.377040001</v>
      </c>
      <c r="AZ297" s="166">
        <f t="shared" si="1141"/>
        <v>0</v>
      </c>
      <c r="BA297" s="166">
        <f t="shared" si="1141"/>
        <v>0</v>
      </c>
      <c r="BB297" s="166">
        <f t="shared" si="1141"/>
        <v>0</v>
      </c>
      <c r="BC297" s="166">
        <f t="shared" si="1141"/>
        <v>0</v>
      </c>
      <c r="BD297" s="166">
        <f t="shared" si="1141"/>
        <v>0</v>
      </c>
      <c r="BE297" s="166">
        <f t="shared" si="1141"/>
        <v>0</v>
      </c>
      <c r="BF297" s="166">
        <f t="shared" si="1141"/>
        <v>0</v>
      </c>
      <c r="BG297" s="166">
        <f t="shared" si="1141"/>
        <v>0</v>
      </c>
      <c r="BH297" s="166">
        <f t="shared" si="1141"/>
        <v>0</v>
      </c>
      <c r="BI297" s="166">
        <f t="shared" si="1141"/>
        <v>0</v>
      </c>
      <c r="BJ297" s="166">
        <f t="shared" si="1141"/>
        <v>0</v>
      </c>
      <c r="BK297" s="166">
        <f t="shared" si="1141"/>
        <v>0</v>
      </c>
      <c r="BL297" s="166">
        <f t="shared" si="1141"/>
        <v>463</v>
      </c>
      <c r="BM297" s="166">
        <f t="shared" si="1141"/>
        <v>13215943.688329507</v>
      </c>
      <c r="BN297" s="166">
        <f t="shared" si="1141"/>
        <v>1748</v>
      </c>
      <c r="BO297" s="166">
        <f t="shared" si="1141"/>
        <v>60390770.306159995</v>
      </c>
      <c r="BP297" s="166">
        <f t="shared" si="1141"/>
        <v>834</v>
      </c>
      <c r="BQ297" s="166">
        <f t="shared" si="1141"/>
        <v>26676288.230486564</v>
      </c>
      <c r="BR297" s="166">
        <f t="shared" si="1141"/>
        <v>0</v>
      </c>
      <c r="BS297" s="166">
        <f t="shared" si="1141"/>
        <v>0</v>
      </c>
      <c r="BT297" s="166">
        <f t="shared" si="1141"/>
        <v>214</v>
      </c>
      <c r="BU297" s="166">
        <f t="shared" si="1141"/>
        <v>7109012.7210458936</v>
      </c>
      <c r="BV297" s="166">
        <f t="shared" si="1141"/>
        <v>639</v>
      </c>
      <c r="BW297" s="166">
        <f t="shared" si="1141"/>
        <v>20852836.922399998</v>
      </c>
      <c r="BX297" s="166">
        <f t="shared" si="1141"/>
        <v>505</v>
      </c>
      <c r="BY297" s="166">
        <f t="shared" si="1141"/>
        <v>17254359.398925599</v>
      </c>
      <c r="BZ297" s="166">
        <f t="shared" si="1141"/>
        <v>793</v>
      </c>
      <c r="CA297" s="166">
        <f t="shared" si="1141"/>
        <v>26068349.227268882</v>
      </c>
      <c r="CB297" s="166">
        <f t="shared" si="1141"/>
        <v>485</v>
      </c>
      <c r="CC297" s="166">
        <f t="shared" si="1141"/>
        <v>13215624.1</v>
      </c>
      <c r="CD297" s="166">
        <f t="shared" si="1141"/>
        <v>778</v>
      </c>
      <c r="CE297" s="166">
        <f t="shared" si="1141"/>
        <v>21233345.098000001</v>
      </c>
      <c r="CF297" s="166">
        <f t="shared" si="1141"/>
        <v>0</v>
      </c>
      <c r="CG297" s="166">
        <f t="shared" si="1141"/>
        <v>0</v>
      </c>
      <c r="CH297" s="166">
        <f t="shared" si="1141"/>
        <v>753</v>
      </c>
      <c r="CI297" s="166">
        <f t="shared" si="1141"/>
        <v>24940608.431346215</v>
      </c>
      <c r="CJ297" s="166">
        <f t="shared" si="1141"/>
        <v>0</v>
      </c>
      <c r="CK297" s="166">
        <f t="shared" si="1141"/>
        <v>0</v>
      </c>
      <c r="CL297" s="166">
        <f t="shared" si="1141"/>
        <v>328</v>
      </c>
      <c r="CM297" s="166">
        <f t="shared" si="1141"/>
        <v>8865411.4835999999</v>
      </c>
      <c r="CN297" s="166">
        <f t="shared" si="1141"/>
        <v>621</v>
      </c>
      <c r="CO297" s="166">
        <f t="shared" si="1141"/>
        <v>16466413.1324</v>
      </c>
      <c r="CP297" s="166">
        <f t="shared" si="1141"/>
        <v>330</v>
      </c>
      <c r="CQ297" s="166">
        <f t="shared" ref="CQ297:DQ297" si="1142">SUM(CQ298:CQ311)</f>
        <v>8985422.0025248006</v>
      </c>
      <c r="CR297" s="166">
        <f t="shared" si="1142"/>
        <v>1031</v>
      </c>
      <c r="CS297" s="166">
        <f t="shared" si="1142"/>
        <v>28691172.611508489</v>
      </c>
      <c r="CT297" s="166">
        <f t="shared" si="1142"/>
        <v>905</v>
      </c>
      <c r="CU297" s="166">
        <f t="shared" si="1142"/>
        <v>24204597.09310342</v>
      </c>
      <c r="CV297" s="166">
        <f t="shared" si="1142"/>
        <v>913</v>
      </c>
      <c r="CW297" s="166">
        <v>29108499.030000016</v>
      </c>
      <c r="CX297" s="166">
        <f t="shared" si="1142"/>
        <v>437</v>
      </c>
      <c r="CY297" s="166">
        <f t="shared" si="1142"/>
        <v>14068456.063258799</v>
      </c>
      <c r="CZ297" s="166">
        <f t="shared" si="1142"/>
        <v>421</v>
      </c>
      <c r="DA297" s="166">
        <v>13098191.660000002</v>
      </c>
      <c r="DB297" s="166">
        <f t="shared" si="1142"/>
        <v>1119</v>
      </c>
      <c r="DC297" s="166">
        <f t="shared" si="1142"/>
        <v>35143816.537200004</v>
      </c>
      <c r="DD297" s="166">
        <f t="shared" si="1142"/>
        <v>0</v>
      </c>
      <c r="DE297" s="166">
        <f t="shared" si="1142"/>
        <v>0</v>
      </c>
      <c r="DF297" s="166">
        <f t="shared" si="1142"/>
        <v>0</v>
      </c>
      <c r="DG297" s="166">
        <f t="shared" si="1142"/>
        <v>0</v>
      </c>
      <c r="DH297" s="166">
        <f t="shared" si="1142"/>
        <v>21</v>
      </c>
      <c r="DI297" s="166">
        <f t="shared" si="1142"/>
        <v>665762.0591999999</v>
      </c>
      <c r="DJ297" s="166">
        <f t="shared" si="1142"/>
        <v>568</v>
      </c>
      <c r="DK297" s="166">
        <f t="shared" si="1142"/>
        <v>18830074.758993678</v>
      </c>
      <c r="DL297" s="166">
        <f t="shared" si="1142"/>
        <v>145</v>
      </c>
      <c r="DM297" s="166">
        <f t="shared" si="1142"/>
        <v>5921386.4575000005</v>
      </c>
      <c r="DN297" s="166">
        <f t="shared" si="1142"/>
        <v>182</v>
      </c>
      <c r="DO297" s="166">
        <f t="shared" si="1142"/>
        <v>9858214.1442999989</v>
      </c>
      <c r="DP297" s="166">
        <f t="shared" si="1142"/>
        <v>1</v>
      </c>
      <c r="DQ297" s="166">
        <f t="shared" si="1142"/>
        <v>61588.080399999999</v>
      </c>
      <c r="DR297" s="166">
        <f>SUM(DR298:DR311)</f>
        <v>22810</v>
      </c>
      <c r="DS297" s="166">
        <f t="shared" ref="DS297" si="1143">SUM(DS298:DS311)</f>
        <v>716159250.85107303</v>
      </c>
      <c r="DT297" s="166">
        <v>23546</v>
      </c>
      <c r="DU297" s="166">
        <v>734877601.41344666</v>
      </c>
      <c r="DV297" s="167">
        <f t="shared" si="1035"/>
        <v>-736</v>
      </c>
      <c r="DW297" s="167">
        <f t="shared" si="1035"/>
        <v>-18718350.562373638</v>
      </c>
    </row>
    <row r="298" spans="1:127" s="6" customFormat="1" ht="45" x14ac:dyDescent="0.25">
      <c r="A298" s="154"/>
      <c r="B298" s="176">
        <v>256</v>
      </c>
      <c r="C298" s="177" t="s">
        <v>673</v>
      </c>
      <c r="D298" s="210" t="s">
        <v>674</v>
      </c>
      <c r="E298" s="158">
        <v>25969</v>
      </c>
      <c r="F298" s="180">
        <v>0.74</v>
      </c>
      <c r="G298" s="168">
        <v>1</v>
      </c>
      <c r="H298" s="169"/>
      <c r="I298" s="169"/>
      <c r="J298" s="169"/>
      <c r="K298" s="106"/>
      <c r="L298" s="180">
        <v>1.4</v>
      </c>
      <c r="M298" s="180">
        <v>1.68</v>
      </c>
      <c r="N298" s="180">
        <v>2.23</v>
      </c>
      <c r="O298" s="181">
        <v>2.57</v>
      </c>
      <c r="P298" s="182">
        <v>20</v>
      </c>
      <c r="Q298" s="182">
        <f>(P298*$E298*$F298*$G298*$L298)</f>
        <v>538077.67999999993</v>
      </c>
      <c r="R298" s="182">
        <v>35</v>
      </c>
      <c r="S298" s="187">
        <f>(R298*$E298*$F298*$G298*$L298)</f>
        <v>941635.94</v>
      </c>
      <c r="T298" s="182">
        <v>60</v>
      </c>
      <c r="U298" s="182">
        <f>(T298*$E298*$F298*$G298*$L298)</f>
        <v>1614233.04</v>
      </c>
      <c r="V298" s="182"/>
      <c r="W298" s="182">
        <f>(V298*$E298*$F298*$G298*$L298)</f>
        <v>0</v>
      </c>
      <c r="X298" s="182"/>
      <c r="Y298" s="182">
        <v>0</v>
      </c>
      <c r="Z298" s="182"/>
      <c r="AA298" s="182">
        <v>0</v>
      </c>
      <c r="AB298" s="182">
        <f t="shared" ref="AB298:AC306" si="1144">X298+Z298</f>
        <v>0</v>
      </c>
      <c r="AC298" s="182">
        <f t="shared" si="1144"/>
        <v>0</v>
      </c>
      <c r="AD298" s="182"/>
      <c r="AE298" s="182">
        <f>(AD298*$E298*$F298*$G298*$L298)</f>
        <v>0</v>
      </c>
      <c r="AF298" s="182"/>
      <c r="AG298" s="182"/>
      <c r="AH298" s="182">
        <v>25</v>
      </c>
      <c r="AI298" s="182">
        <f>(AH298*$E298*$F298*$G298*$L298)</f>
        <v>672597.1</v>
      </c>
      <c r="AJ298" s="182"/>
      <c r="AK298" s="182"/>
      <c r="AL298" s="182"/>
      <c r="AM298" s="182"/>
      <c r="AN298" s="184"/>
      <c r="AO298" s="182">
        <f>(AN298*$E298*$F298*$G298*$L298)</f>
        <v>0</v>
      </c>
      <c r="AP298" s="182">
        <v>43</v>
      </c>
      <c r="AQ298" s="182">
        <f>(AP298*$E298*$F298*$G298*$L298)</f>
        <v>1156867.0119999999</v>
      </c>
      <c r="AR298" s="182">
        <v>116</v>
      </c>
      <c r="AS298" s="182">
        <f>(AR298*$E298*$F298*$G298*$L298)</f>
        <v>3120850.5439999998</v>
      </c>
      <c r="AT298" s="182">
        <v>294</v>
      </c>
      <c r="AU298" s="183">
        <f>(AT298*$E298*$F298*$G298*$M298)</f>
        <v>9491690.2751999982</v>
      </c>
      <c r="AV298" s="186"/>
      <c r="AW298" s="182">
        <f>(AV298*$E298*$F298*$G298*$M298)</f>
        <v>0</v>
      </c>
      <c r="AX298" s="182">
        <v>6</v>
      </c>
      <c r="AY298" s="187">
        <f>(AX298*$E298*$F298*$G298*$M298)</f>
        <v>193707.96479999999</v>
      </c>
      <c r="AZ298" s="182"/>
      <c r="BA298" s="182">
        <f>(AZ298*$E298*$F298*$G298*$L298*$AO$12)</f>
        <v>0</v>
      </c>
      <c r="BB298" s="182"/>
      <c r="BC298" s="182">
        <f>(BB298*$E298*$F298*$G298*$L298*BC$12)</f>
        <v>0</v>
      </c>
      <c r="BD298" s="182"/>
      <c r="BE298" s="182">
        <f>(BD298*$E298*$F298*$G298*$L298*BE$12)</f>
        <v>0</v>
      </c>
      <c r="BF298" s="182"/>
      <c r="BG298" s="182">
        <f>(BF298*$E298*$F298*$G298*$L298)</f>
        <v>0</v>
      </c>
      <c r="BH298" s="182"/>
      <c r="BI298" s="182">
        <f t="shared" ref="BI298" si="1145">(BH298*$E298*$F298*$G298*$L298)</f>
        <v>0</v>
      </c>
      <c r="BJ298" s="182"/>
      <c r="BK298" s="182"/>
      <c r="BL298" s="182">
        <v>16</v>
      </c>
      <c r="BM298" s="182">
        <f>(BL298*$E298*$F298*$G298*$L298)</f>
        <v>430462.14400000003</v>
      </c>
      <c r="BN298" s="182">
        <v>51</v>
      </c>
      <c r="BO298" s="182">
        <f>(BN298*$E298*$F298*$G298*$M298)</f>
        <v>1646517.7007999998</v>
      </c>
      <c r="BP298" s="182">
        <v>301</v>
      </c>
      <c r="BQ298" s="182">
        <f>(BP298*$E298*$F298*$G298*$M298)</f>
        <v>9717682.900799999</v>
      </c>
      <c r="BR298" s="182"/>
      <c r="BS298" s="182">
        <f>(BR298*$E298*$F298*$G298*$M298)</f>
        <v>0</v>
      </c>
      <c r="BT298" s="182">
        <v>34</v>
      </c>
      <c r="BU298" s="182">
        <f>(BT298*$E298*$F298*$G298*$M298)</f>
        <v>1097678.4672000001</v>
      </c>
      <c r="BV298" s="182">
        <v>59</v>
      </c>
      <c r="BW298" s="182">
        <f>(BV298*$E298*$F298*$G298*$M298)</f>
        <v>1904794.9872000001</v>
      </c>
      <c r="BX298" s="182">
        <v>31</v>
      </c>
      <c r="BY298" s="182">
        <f>(BX298*$E298*$F298*$G298*$M298)</f>
        <v>1000824.4848</v>
      </c>
      <c r="BZ298" s="182">
        <v>75</v>
      </c>
      <c r="CA298" s="187">
        <f>(BZ298*$E298*$F298*$G298*$M298)</f>
        <v>2421349.56</v>
      </c>
      <c r="CB298" s="182">
        <v>10</v>
      </c>
      <c r="CC298" s="182">
        <f>(CB298*$E298*$F298*$G298*$L298)</f>
        <v>269038.83999999997</v>
      </c>
      <c r="CD298" s="182">
        <v>45</v>
      </c>
      <c r="CE298" s="183">
        <f>(CD298*$E298*$F298*$G298*$L298)</f>
        <v>1210674.7799999998</v>
      </c>
      <c r="CF298" s="182"/>
      <c r="CG298" s="182">
        <f>(CF298*$E298*$F298*$G298*$L298)</f>
        <v>0</v>
      </c>
      <c r="CH298" s="182">
        <v>90</v>
      </c>
      <c r="CI298" s="182">
        <f>(CH298*$E298*$F298*$G298*$M298)</f>
        <v>2905619.4719999996</v>
      </c>
      <c r="CJ298" s="182"/>
      <c r="CK298" s="182"/>
      <c r="CL298" s="182">
        <v>18</v>
      </c>
      <c r="CM298" s="182">
        <f>(CL298*$E298*$F298*$G298*$L298)</f>
        <v>484269.91200000001</v>
      </c>
      <c r="CN298" s="182">
        <v>2</v>
      </c>
      <c r="CO298" s="182">
        <f>(CN298*$E298*$F298*$G298*$L298)</f>
        <v>53807.768000000004</v>
      </c>
      <c r="CP298" s="182">
        <v>30</v>
      </c>
      <c r="CQ298" s="182">
        <f>(CP298*$E298*$F298*$G298*$L298)</f>
        <v>807116.52</v>
      </c>
      <c r="CR298" s="182">
        <v>48</v>
      </c>
      <c r="CS298" s="182">
        <f>(CR298*$E298*$F298*$G298*$L298)</f>
        <v>1291386.432</v>
      </c>
      <c r="CT298" s="182">
        <v>40</v>
      </c>
      <c r="CU298" s="182">
        <f>(CT298*$E298*$F298*$G298*$L298)</f>
        <v>1076155.3599999999</v>
      </c>
      <c r="CV298" s="182">
        <v>37</v>
      </c>
      <c r="CW298" s="182">
        <v>1151122.6400000001</v>
      </c>
      <c r="CX298" s="182">
        <v>55</v>
      </c>
      <c r="CY298" s="182">
        <f>(CX298*$E298*$F298*$G298*$M298)</f>
        <v>1775656.344</v>
      </c>
      <c r="CZ298" s="182"/>
      <c r="DA298" s="182">
        <v>0</v>
      </c>
      <c r="DB298" s="188">
        <v>12</v>
      </c>
      <c r="DC298" s="182">
        <f>(DB298*$E298*$F298*$G298*$M298)</f>
        <v>387415.92959999997</v>
      </c>
      <c r="DD298" s="182"/>
      <c r="DE298" s="187">
        <f>(DD298*$E298*$F298*$G298*$M298)</f>
        <v>0</v>
      </c>
      <c r="DF298" s="182"/>
      <c r="DG298" s="182"/>
      <c r="DH298" s="189"/>
      <c r="DI298" s="182">
        <f>(DH298*$E298*$F298*$G298*$M298)</f>
        <v>0</v>
      </c>
      <c r="DJ298" s="182">
        <v>35</v>
      </c>
      <c r="DK298" s="182">
        <f>(DJ298*$E298*$F298*$G298*$M298)</f>
        <v>1129963.128</v>
      </c>
      <c r="DL298" s="182">
        <f>ROUND(30*0.75,0)</f>
        <v>23</v>
      </c>
      <c r="DM298" s="182">
        <f>(DL298*$E298*$F298*$G298*$N298)</f>
        <v>985643.0074</v>
      </c>
      <c r="DN298" s="182">
        <f>ROUND(25*0.75,0)</f>
        <v>19</v>
      </c>
      <c r="DO298" s="187">
        <f>(DN298*$E298*$F298*$G298*$O298)</f>
        <v>938369.03980000003</v>
      </c>
      <c r="DP298" s="187"/>
      <c r="DQ298" s="187"/>
      <c r="DR298" s="183">
        <f t="shared" ref="DR298:DS311" si="1146">SUM(P298,R298,T298,V298,AB298,AJ298,AD298,AF298,AH298,AL298,AN298,AP298,AV298,AZ298,BB298,CF298,AR298,BF298,BH298,BJ298,CT298,BL298,BN298,AT298,BR298,AX298,CV298,BT298,CX298,BV298,BX298,BZ298,CH298,CB298,CD298,CJ298,CL298,CN298,CP298,CR298,CZ298,DB298,BP298,BD298,DD298,DF298,DH298,DJ298,DL298,DN298,DP298)</f>
        <v>1630</v>
      </c>
      <c r="DS298" s="183">
        <f t="shared" si="1146"/>
        <v>50415208.973599993</v>
      </c>
      <c r="DT298" s="182">
        <v>1683</v>
      </c>
      <c r="DU298" s="182">
        <v>52110153.665600009</v>
      </c>
      <c r="DV298" s="167">
        <f t="shared" si="1035"/>
        <v>-53</v>
      </c>
      <c r="DW298" s="167">
        <f t="shared" si="1035"/>
        <v>-1694944.6920000166</v>
      </c>
    </row>
    <row r="299" spans="1:127" s="6" customFormat="1" ht="45" customHeight="1" x14ac:dyDescent="0.25">
      <c r="A299" s="154"/>
      <c r="B299" s="176">
        <v>257</v>
      </c>
      <c r="C299" s="177" t="s">
        <v>675</v>
      </c>
      <c r="D299" s="210" t="s">
        <v>676</v>
      </c>
      <c r="E299" s="158">
        <v>25969</v>
      </c>
      <c r="F299" s="179">
        <v>0.69</v>
      </c>
      <c r="G299" s="168">
        <v>1</v>
      </c>
      <c r="H299" s="169"/>
      <c r="I299" s="169"/>
      <c r="J299" s="169"/>
      <c r="K299" s="106"/>
      <c r="L299" s="180">
        <v>1.4</v>
      </c>
      <c r="M299" s="180">
        <v>1.68</v>
      </c>
      <c r="N299" s="180">
        <v>2.23</v>
      </c>
      <c r="O299" s="181">
        <v>2.57</v>
      </c>
      <c r="P299" s="182">
        <v>30</v>
      </c>
      <c r="Q299" s="182">
        <f>(P299*$E299*$F299*$G299*$L299*$Q$12)</f>
        <v>827839.78199999989</v>
      </c>
      <c r="R299" s="182"/>
      <c r="S299" s="182">
        <f>(R299*$E299*$F299*$G299*$L299*$S$12)</f>
        <v>0</v>
      </c>
      <c r="T299" s="182"/>
      <c r="U299" s="182">
        <f t="shared" ref="U299" si="1147">(T299/12*11*$E299*$F299*$G299*$L299*$U$12)+(T299/12*1*$E299*$F299*$G299*$L299*$U$14)</f>
        <v>0</v>
      </c>
      <c r="V299" s="182"/>
      <c r="W299" s="183">
        <f>(V299*$E299*$F299*$G299*$L299*$W$12)/12*10+(V299*$E299*$F299*$G299*$L299*$W$13)/12*1++(V299*$E299*$F299*$G299*$L299*$W$14)/12*1</f>
        <v>0</v>
      </c>
      <c r="X299" s="183">
        <v>5</v>
      </c>
      <c r="Y299" s="183">
        <v>175602.37799999997</v>
      </c>
      <c r="Z299" s="183"/>
      <c r="AA299" s="183">
        <v>0</v>
      </c>
      <c r="AB299" s="182">
        <f t="shared" si="1144"/>
        <v>5</v>
      </c>
      <c r="AC299" s="182">
        <f t="shared" si="1144"/>
        <v>175602.37799999997</v>
      </c>
      <c r="AD299" s="182"/>
      <c r="AE299" s="182">
        <f>(AD299*$E299*$F299*$G299*$L299*$AE$12)</f>
        <v>0</v>
      </c>
      <c r="AF299" s="182"/>
      <c r="AG299" s="182"/>
      <c r="AH299" s="182">
        <v>20</v>
      </c>
      <c r="AI299" s="182">
        <f>(AH299*$E299*$F299*$G299*$L299*$AI$12)</f>
        <v>551893.18799999997</v>
      </c>
      <c r="AJ299" s="182"/>
      <c r="AK299" s="182"/>
      <c r="AL299" s="182"/>
      <c r="AM299" s="182"/>
      <c r="AN299" s="184"/>
      <c r="AO299" s="182">
        <f>(AN299*$E299*$F299*$G299*$L299*$AO$12)</f>
        <v>0</v>
      </c>
      <c r="AP299" s="182">
        <v>61</v>
      </c>
      <c r="AQ299" s="183">
        <f>(AP299*$E299*$F299*$G299*$L299*$AQ$12)</f>
        <v>1683274.2233999998</v>
      </c>
      <c r="AR299" s="182">
        <v>1</v>
      </c>
      <c r="AS299" s="182">
        <f>(AR299*$E299*$F299*$G299*$L299*$AS$12)/12*10+(AR299*$E299*$F299*$G299*$L299*$AS$13)/12*1+(AR299*$E299*$F299*$L299*$G299*$AS$14*$AS$15)/12*1</f>
        <v>29789.271024099995</v>
      </c>
      <c r="AT299" s="182">
        <v>10</v>
      </c>
      <c r="AU299" s="182">
        <f>(AT299*$E299*$F299*$G299*$M299*$AU$12)/12*10+(AT299*$E299*$F299*$G299*$M299*$AU$13)/12+(AT299*$E299*$F299*$G299*$M299*$AU$14*$AU$15)/12</f>
        <v>346909.87303887593</v>
      </c>
      <c r="AV299" s="188"/>
      <c r="AW299" s="182">
        <f>(AV299*$E299*$F299*$G299*$M299*$AW$12)</f>
        <v>0</v>
      </c>
      <c r="AX299" s="182">
        <v>1</v>
      </c>
      <c r="AY299" s="187">
        <f>(AX299*$E299*$F299*$G299*$M299*$AY$12)</f>
        <v>33113.591279999993</v>
      </c>
      <c r="AZ299" s="182"/>
      <c r="BA299" s="182">
        <f>(AZ299*$E299*$F299*$G299*$L299*$BA$12)</f>
        <v>0</v>
      </c>
      <c r="BB299" s="182">
        <v>0</v>
      </c>
      <c r="BC299" s="182">
        <f>(BB299*$E299*$F299*$G299*$L299*$BC$12)</f>
        <v>0</v>
      </c>
      <c r="BD299" s="182"/>
      <c r="BE299" s="182">
        <f>(BD299*$E299*$F299*$G299*$L299*$BE$12)</f>
        <v>0</v>
      </c>
      <c r="BF299" s="182"/>
      <c r="BG299" s="182">
        <f>(BF299*$E299*$F299*$G299*$L299*$BG$12)</f>
        <v>0</v>
      </c>
      <c r="BH299" s="182"/>
      <c r="BI299" s="183">
        <f>(BH299*$E299*$F299*$G299*$L299*$BI$12)</f>
        <v>0</v>
      </c>
      <c r="BJ299" s="182"/>
      <c r="BK299" s="183">
        <f>(BJ299*$E299*$F299*$G299*$L299*$BK$12)</f>
        <v>0</v>
      </c>
      <c r="BL299" s="182"/>
      <c r="BM299" s="182">
        <f>(BL299*$E299*$F299*$G299*$L299*$BM$12)</f>
        <v>0</v>
      </c>
      <c r="BN299" s="182">
        <v>1</v>
      </c>
      <c r="BO299" s="182">
        <f>(BN299*$E299*$F299*$G299*$M299*$BO$12)</f>
        <v>33113.591279999993</v>
      </c>
      <c r="BP299" s="182"/>
      <c r="BQ299" s="182">
        <f>(BP299*$E299*$F299*$G299*$M299*$BQ$12)</f>
        <v>0</v>
      </c>
      <c r="BR299" s="182"/>
      <c r="BS299" s="183">
        <f>(BR299*$E299*$F299*$G299*$M299*$BS$12)</f>
        <v>0</v>
      </c>
      <c r="BT299" s="194"/>
      <c r="BU299" s="182">
        <f>(BT299*$E299*$F299*$G299*$M299*$BU$12)</f>
        <v>0</v>
      </c>
      <c r="BV299" s="182"/>
      <c r="BW299" s="182">
        <f>(BV299*$E299*$F299*$G299*$M299*$BW$12)</f>
        <v>0</v>
      </c>
      <c r="BX299" s="182">
        <v>3</v>
      </c>
      <c r="BY299" s="183">
        <f t="shared" ref="BY299" si="1148">(BX299*$E299*$F299*$G299*$M299*$BY$12)/12*11+(BX299*$E299*$F299*$G299*$M299*$BY$12*$BY$15)/12</f>
        <v>121799.01351139197</v>
      </c>
      <c r="BZ299" s="182"/>
      <c r="CA299" s="187">
        <f>(BZ299*$E299*$F299*$G299*$M299*$CA$12)</f>
        <v>0</v>
      </c>
      <c r="CB299" s="182"/>
      <c r="CC299" s="182">
        <f>(CB299*$E299*$F299*$G299*$L299*$CC$12)</f>
        <v>0</v>
      </c>
      <c r="CD299" s="182"/>
      <c r="CE299" s="182">
        <f>(CD299*$E299*$F299*$G299*$L299*$CE$12)</f>
        <v>0</v>
      </c>
      <c r="CF299" s="182"/>
      <c r="CG299" s="182">
        <f>(CF299*$E299*$F299*$G299*$L299*$CG$12)</f>
        <v>0</v>
      </c>
      <c r="CH299" s="182"/>
      <c r="CI299" s="182">
        <f>(CH299*$E299*$F299*$G299*$M299*$CI$12)</f>
        <v>0</v>
      </c>
      <c r="CJ299" s="182"/>
      <c r="CK299" s="182"/>
      <c r="CL299" s="182"/>
      <c r="CM299" s="183">
        <f>(CL299*$E299*$F299*$G299*$L299*$CM$12)</f>
        <v>0</v>
      </c>
      <c r="CN299" s="182"/>
      <c r="CO299" s="183">
        <f>(CN299*$E299*$F299*$G299*$L299*$CO$12)</f>
        <v>0</v>
      </c>
      <c r="CP299" s="182"/>
      <c r="CQ299" s="182">
        <f>(CP299*$E299*$F299*$G299*$L299*$CQ$12)</f>
        <v>0</v>
      </c>
      <c r="CR299" s="182"/>
      <c r="CS299" s="182">
        <f>(CR299*$E299*$F299*$G299*$L299*$CS$12)</f>
        <v>0</v>
      </c>
      <c r="CT299" s="182"/>
      <c r="CU299" s="182">
        <f>(CT299*$E299*$F299*$G299*$L299*$CU$12)</f>
        <v>0</v>
      </c>
      <c r="CV299" s="182">
        <v>4</v>
      </c>
      <c r="CW299" s="182">
        <v>90309.78</v>
      </c>
      <c r="CX299" s="182"/>
      <c r="CY299" s="182">
        <f>(CX299*$E299*$F299*$G299*$M299*$CY$12)</f>
        <v>0</v>
      </c>
      <c r="CZ299" s="182"/>
      <c r="DA299" s="182">
        <v>0</v>
      </c>
      <c r="DB299" s="188"/>
      <c r="DC299" s="182">
        <f>(DB299*$E299*$F299*$G299*$M299*$DC$12)</f>
        <v>0</v>
      </c>
      <c r="DD299" s="182"/>
      <c r="DE299" s="187">
        <f>(DD299*$E299*$F299*$G299*$M299*DE$12)</f>
        <v>0</v>
      </c>
      <c r="DF299" s="182"/>
      <c r="DG299" s="182">
        <f>(DF299*$E299*$F299*$G299*$M299*$DG$12)</f>
        <v>0</v>
      </c>
      <c r="DH299" s="189"/>
      <c r="DI299" s="182">
        <f>(DH299*$E299*$F299*$G299*$M299*$DI$12)</f>
        <v>0</v>
      </c>
      <c r="DJ299" s="182"/>
      <c r="DK299" s="182">
        <f>(DJ299*$E299*$F299*$G299*$M299*$DK$12)</f>
        <v>0</v>
      </c>
      <c r="DL299" s="182"/>
      <c r="DM299" s="182">
        <f>(DL299*$E299*$F299*$G299*$N299*$DM$12)</f>
        <v>0</v>
      </c>
      <c r="DN299" s="182">
        <f>ROUND(2*0.75,0)</f>
        <v>2</v>
      </c>
      <c r="DO299" s="190">
        <f>(DN299*$E299*$F299*$G299*$O299*$DO$12)</f>
        <v>92101.655399999974</v>
      </c>
      <c r="DP299" s="187"/>
      <c r="DQ299" s="187"/>
      <c r="DR299" s="183">
        <f t="shared" si="1146"/>
        <v>138</v>
      </c>
      <c r="DS299" s="183">
        <f t="shared" si="1146"/>
        <v>3985746.346934367</v>
      </c>
      <c r="DT299" s="182">
        <v>138</v>
      </c>
      <c r="DU299" s="182">
        <v>3962921.583289999</v>
      </c>
      <c r="DV299" s="167">
        <f t="shared" si="1035"/>
        <v>0</v>
      </c>
      <c r="DW299" s="167">
        <f t="shared" si="1035"/>
        <v>22824.763644367922</v>
      </c>
    </row>
    <row r="300" spans="1:127" s="6" customFormat="1" ht="15.75" customHeight="1" x14ac:dyDescent="0.25">
      <c r="A300" s="154"/>
      <c r="B300" s="176">
        <v>258</v>
      </c>
      <c r="C300" s="177" t="s">
        <v>677</v>
      </c>
      <c r="D300" s="210" t="s">
        <v>678</v>
      </c>
      <c r="E300" s="158">
        <v>25969</v>
      </c>
      <c r="F300" s="179">
        <v>0.72</v>
      </c>
      <c r="G300" s="168">
        <v>1</v>
      </c>
      <c r="H300" s="169"/>
      <c r="I300" s="169"/>
      <c r="J300" s="169"/>
      <c r="K300" s="106"/>
      <c r="L300" s="180">
        <v>1.4</v>
      </c>
      <c r="M300" s="180">
        <v>1.68</v>
      </c>
      <c r="N300" s="180">
        <v>2.23</v>
      </c>
      <c r="O300" s="181">
        <v>2.57</v>
      </c>
      <c r="P300" s="182">
        <v>51</v>
      </c>
      <c r="Q300" s="182">
        <f>(P300*$E300*$F300*$G300*$L300)</f>
        <v>1335014.3519999997</v>
      </c>
      <c r="R300" s="182">
        <v>45</v>
      </c>
      <c r="S300" s="187">
        <f>(R300*$E300*$F300*$G300*$L300)</f>
        <v>1177953.8399999999</v>
      </c>
      <c r="T300" s="182">
        <v>8</v>
      </c>
      <c r="U300" s="182">
        <f>(T300*$E300*$F300*$G300*$L300)</f>
        <v>209414.016</v>
      </c>
      <c r="V300" s="182"/>
      <c r="W300" s="182">
        <f>(V300*$E300*$F300*$G300*$L300)</f>
        <v>0</v>
      </c>
      <c r="X300" s="182"/>
      <c r="Y300" s="182">
        <v>0</v>
      </c>
      <c r="Z300" s="182"/>
      <c r="AA300" s="182">
        <v>0</v>
      </c>
      <c r="AB300" s="182">
        <f t="shared" si="1144"/>
        <v>0</v>
      </c>
      <c r="AC300" s="182">
        <f t="shared" si="1144"/>
        <v>0</v>
      </c>
      <c r="AD300" s="182"/>
      <c r="AE300" s="182">
        <f>(AD300*$E300*$F300*$G300*$L300)</f>
        <v>0</v>
      </c>
      <c r="AF300" s="182"/>
      <c r="AG300" s="182"/>
      <c r="AH300" s="182">
        <v>60</v>
      </c>
      <c r="AI300" s="182">
        <f>(AH300*$E300*$F300*$G300*$L300)</f>
        <v>1570605.1199999999</v>
      </c>
      <c r="AJ300" s="182"/>
      <c r="AK300" s="182"/>
      <c r="AL300" s="182"/>
      <c r="AM300" s="182"/>
      <c r="AN300" s="184"/>
      <c r="AO300" s="182">
        <f>(AN300*$E300*$F300*$G300*$L300)</f>
        <v>0</v>
      </c>
      <c r="AP300" s="182">
        <v>40</v>
      </c>
      <c r="AQ300" s="182">
        <f>(AP300*$E300*$F300*$G300*$L300)</f>
        <v>1047070.0799999998</v>
      </c>
      <c r="AR300" s="182">
        <v>208</v>
      </c>
      <c r="AS300" s="182">
        <f>(AR300*$E300*$F300*$G300*$L300)</f>
        <v>5444764.4159999993</v>
      </c>
      <c r="AT300" s="182">
        <v>77</v>
      </c>
      <c r="AU300" s="183">
        <f>(AT300*$E300*$F300*$G300*$M300)</f>
        <v>2418731.8847999997</v>
      </c>
      <c r="AV300" s="186"/>
      <c r="AW300" s="182">
        <f>(AV300*$E300*$F300*$G300*$M300)</f>
        <v>0</v>
      </c>
      <c r="AX300" s="182">
        <v>9</v>
      </c>
      <c r="AY300" s="187">
        <f>(AX300*$E300*$F300*$G300*$M300)</f>
        <v>282708.9216</v>
      </c>
      <c r="AZ300" s="182"/>
      <c r="BA300" s="182">
        <f>(AZ300*$E300*$F300*$G300*$L300*$AO$12)</f>
        <v>0</v>
      </c>
      <c r="BB300" s="182"/>
      <c r="BC300" s="182">
        <f>(BB300*$E300*$F300*$G300*$L300*BC$12)</f>
        <v>0</v>
      </c>
      <c r="BD300" s="182"/>
      <c r="BE300" s="182">
        <f>(BD300*$E300*$F300*$G300*$L300*BE$12)</f>
        <v>0</v>
      </c>
      <c r="BF300" s="182"/>
      <c r="BG300" s="182">
        <f>(BF300*$E300*$F300*$G300*$L300)</f>
        <v>0</v>
      </c>
      <c r="BH300" s="182"/>
      <c r="BI300" s="182">
        <f t="shared" ref="BI300" si="1149">(BH300*$E300*$F300*$G300*$L300)</f>
        <v>0</v>
      </c>
      <c r="BJ300" s="182"/>
      <c r="BK300" s="182"/>
      <c r="BL300" s="182">
        <v>60</v>
      </c>
      <c r="BM300" s="182">
        <f>(BL300*$E300*$F300*$G300*$L300)</f>
        <v>1570605.1199999999</v>
      </c>
      <c r="BN300" s="182">
        <v>84</v>
      </c>
      <c r="BO300" s="182">
        <f>(BN300*$E300*$F300*$G300*$M300)</f>
        <v>2638616.6015999997</v>
      </c>
      <c r="BP300" s="182">
        <v>14</v>
      </c>
      <c r="BQ300" s="182">
        <f>(BP300*$E300*$F300*$G300*$M300)</f>
        <v>439769.43359999999</v>
      </c>
      <c r="BR300" s="182"/>
      <c r="BS300" s="182">
        <f>(BR300*$E300*$F300*$G300*$M300)</f>
        <v>0</v>
      </c>
      <c r="BT300" s="182">
        <v>32</v>
      </c>
      <c r="BU300" s="182">
        <f>(BT300*$E300*$F300*$G300*$M300)</f>
        <v>1005187.2768</v>
      </c>
      <c r="BV300" s="182">
        <v>8</v>
      </c>
      <c r="BW300" s="182">
        <f>(BV300*$E300*$F300*$G300*$M300)</f>
        <v>251296.8192</v>
      </c>
      <c r="BX300" s="182">
        <v>28</v>
      </c>
      <c r="BY300" s="182">
        <f>(BX300*$E300*$F300*$G300*$M300)</f>
        <v>879538.86719999998</v>
      </c>
      <c r="BZ300" s="182">
        <v>97</v>
      </c>
      <c r="CA300" s="187">
        <f>(BZ300*$E300*$F300*$G300*$M300)</f>
        <v>3046973.9327999996</v>
      </c>
      <c r="CB300" s="182">
        <v>5</v>
      </c>
      <c r="CC300" s="182">
        <f>(CB300*$E300*$F300*$G300*$L300)</f>
        <v>130883.75999999998</v>
      </c>
      <c r="CD300" s="182"/>
      <c r="CE300" s="183">
        <f>(CD300*$E300*$F300*$G300*$L300)</f>
        <v>0</v>
      </c>
      <c r="CF300" s="182"/>
      <c r="CG300" s="182">
        <f>(CF300*$E300*$F300*$G300*$L300)</f>
        <v>0</v>
      </c>
      <c r="CH300" s="182">
        <v>70</v>
      </c>
      <c r="CI300" s="182">
        <f>(CH300*$E300*$F300*$G300*$M300)</f>
        <v>2198847.1679999996</v>
      </c>
      <c r="CJ300" s="182"/>
      <c r="CK300" s="182"/>
      <c r="CL300" s="182">
        <v>30</v>
      </c>
      <c r="CM300" s="182">
        <f>(CL300*$E300*$F300*$G300*$L300)</f>
        <v>785302.55999999994</v>
      </c>
      <c r="CN300" s="182">
        <v>3</v>
      </c>
      <c r="CO300" s="182">
        <f>(CN300*$E300*$F300*$G300*$L300)</f>
        <v>78530.255999999994</v>
      </c>
      <c r="CP300" s="182">
        <v>40</v>
      </c>
      <c r="CQ300" s="182">
        <f>(CP300*$E300*$F300*$G300*$L300)</f>
        <v>1047070.0799999998</v>
      </c>
      <c r="CR300" s="182">
        <v>82</v>
      </c>
      <c r="CS300" s="182">
        <f>(CR300*$E300*$F300*$G300*$L300)</f>
        <v>2146493.6639999999</v>
      </c>
      <c r="CT300" s="182">
        <v>45</v>
      </c>
      <c r="CU300" s="182">
        <f>(CT300*$E300*$F300*$G300*$L300)</f>
        <v>1177953.8399999999</v>
      </c>
      <c r="CV300" s="182">
        <v>101</v>
      </c>
      <c r="CW300" s="182">
        <v>3149935.6000000052</v>
      </c>
      <c r="CX300" s="182">
        <v>42</v>
      </c>
      <c r="CY300" s="182">
        <f>(CX300*$E300*$F300*$G300*$M300)</f>
        <v>1319308.3007999999</v>
      </c>
      <c r="CZ300" s="182">
        <v>1</v>
      </c>
      <c r="DA300" s="182">
        <v>31412.1</v>
      </c>
      <c r="DB300" s="188">
        <v>2</v>
      </c>
      <c r="DC300" s="182">
        <f>(DB300*$E300*$F300*$G300*$M300)</f>
        <v>62824.2048</v>
      </c>
      <c r="DD300" s="182"/>
      <c r="DE300" s="187">
        <f>(DD300*$E300*$F300*$G300*$M300)</f>
        <v>0</v>
      </c>
      <c r="DF300" s="182"/>
      <c r="DG300" s="182"/>
      <c r="DH300" s="189">
        <f>ROUND(2*0.75,0)</f>
        <v>2</v>
      </c>
      <c r="DI300" s="182">
        <f>(DH300*$E300*$F300*$G300*$M300)</f>
        <v>62824.2048</v>
      </c>
      <c r="DJ300" s="182">
        <v>25</v>
      </c>
      <c r="DK300" s="182">
        <f>(DJ300*$E300*$F300*$G300*$M300)</f>
        <v>785302.55999999994</v>
      </c>
      <c r="DL300" s="182">
        <f>ROUND(20*0.75,0)</f>
        <v>15</v>
      </c>
      <c r="DM300" s="182">
        <f>(DL300*$E300*$F300*$G300*$N300)</f>
        <v>625437.39600000007</v>
      </c>
      <c r="DN300" s="182">
        <f>ROUND(20*0.75,0)</f>
        <v>15</v>
      </c>
      <c r="DO300" s="187">
        <f>(DN300*$E300*$F300*$G300*$O300)</f>
        <v>720795.56400000001</v>
      </c>
      <c r="DP300" s="187"/>
      <c r="DQ300" s="187"/>
      <c r="DR300" s="183">
        <f t="shared" si="1146"/>
        <v>1299</v>
      </c>
      <c r="DS300" s="183">
        <f t="shared" si="1146"/>
        <v>37641171.940000005</v>
      </c>
      <c r="DT300" s="182">
        <v>1299</v>
      </c>
      <c r="DU300" s="182">
        <v>37641171.940000005</v>
      </c>
      <c r="DV300" s="167">
        <f t="shared" si="1035"/>
        <v>0</v>
      </c>
      <c r="DW300" s="167">
        <f t="shared" si="1035"/>
        <v>0</v>
      </c>
    </row>
    <row r="301" spans="1:127" s="6" customFormat="1" ht="27" customHeight="1" x14ac:dyDescent="0.25">
      <c r="A301" s="154"/>
      <c r="B301" s="176">
        <v>259</v>
      </c>
      <c r="C301" s="177" t="s">
        <v>679</v>
      </c>
      <c r="D301" s="210" t="s">
        <v>680</v>
      </c>
      <c r="E301" s="158">
        <v>25969</v>
      </c>
      <c r="F301" s="179">
        <v>0.59</v>
      </c>
      <c r="G301" s="168">
        <v>1</v>
      </c>
      <c r="H301" s="169"/>
      <c r="I301" s="169"/>
      <c r="J301" s="169"/>
      <c r="K301" s="106"/>
      <c r="L301" s="180">
        <v>1.4</v>
      </c>
      <c r="M301" s="180">
        <v>1.68</v>
      </c>
      <c r="N301" s="180">
        <v>2.23</v>
      </c>
      <c r="O301" s="181">
        <v>2.57</v>
      </c>
      <c r="P301" s="182">
        <v>158</v>
      </c>
      <c r="Q301" s="182">
        <f>(P301*$E301*$F301*$G301*$L301*$Q$12)</f>
        <v>3728078.4771999996</v>
      </c>
      <c r="R301" s="182">
        <v>110</v>
      </c>
      <c r="S301" s="182">
        <f>(R301*$E301*$F301*$G301*$L301*$S$12)</f>
        <v>2595497.6740000001</v>
      </c>
      <c r="T301" s="182"/>
      <c r="U301" s="182">
        <f t="shared" ref="U301" si="1150">(T301/12*11*$E301*$F301*$G301*$L301*$U$12)+(T301/12*1*$E301*$F301*$G301*$L301*$U$14)</f>
        <v>0</v>
      </c>
      <c r="V301" s="182"/>
      <c r="W301" s="183">
        <f>(V301*$E301*$F301*$G301*$L301*$W$12)/12*10+(V301*$E301*$F301*$G301*$L301*$W$13)/12*1++(V301*$E301*$F301*$G301*$L301*$W$14)/12*1</f>
        <v>0</v>
      </c>
      <c r="X301" s="183"/>
      <c r="Y301" s="183">
        <v>0</v>
      </c>
      <c r="Z301" s="183"/>
      <c r="AA301" s="183">
        <v>0</v>
      </c>
      <c r="AB301" s="182">
        <f t="shared" si="1144"/>
        <v>0</v>
      </c>
      <c r="AC301" s="182">
        <f t="shared" si="1144"/>
        <v>0</v>
      </c>
      <c r="AD301" s="182"/>
      <c r="AE301" s="182">
        <f>(AD301*$E301*$F301*$G301*$L301*$AE$12)</f>
        <v>0</v>
      </c>
      <c r="AF301" s="182"/>
      <c r="AG301" s="182"/>
      <c r="AH301" s="182">
        <v>80</v>
      </c>
      <c r="AI301" s="182">
        <f>(AH301*$E301*$F301*$G301*$L301*$AI$12)</f>
        <v>1887634.6720000003</v>
      </c>
      <c r="AJ301" s="182"/>
      <c r="AK301" s="182"/>
      <c r="AL301" s="182"/>
      <c r="AM301" s="182"/>
      <c r="AN301" s="184"/>
      <c r="AO301" s="182">
        <f>(AN301*$E301*$F301*$G301*$L301*$AO$12)</f>
        <v>0</v>
      </c>
      <c r="AP301" s="182">
        <v>105</v>
      </c>
      <c r="AQ301" s="183">
        <f>(AP301*$E301*$F301*$G301*$L301*$AQ$12)</f>
        <v>2477520.5069999998</v>
      </c>
      <c r="AR301" s="182">
        <v>260</v>
      </c>
      <c r="AS301" s="182">
        <f>(AR301*$E301*$F301*$G301*$L301*$AS$12)/12*10+(AR301*$E301*$F301*$G301*$L301*$AS$13)/12*1+(AR301*$E301*$F301*$L301*$G301*$AS$14*$AS$15)/12*1</f>
        <v>6622716.1957926666</v>
      </c>
      <c r="AT301" s="182">
        <v>110</v>
      </c>
      <c r="AU301" s="182">
        <f>(AT301*$E301*$F301*$G301*$M301*$AU$12)/12*10+(AT301*$E301*$F301*$G301*$M301*$AU$13)/12+(AT301*$E301*$F301*$G301*$M301*$AU$14*$AU$15)/12</f>
        <v>3262963.8782931957</v>
      </c>
      <c r="AV301" s="188"/>
      <c r="AW301" s="182">
        <f>(AV301*$E301*$F301*$G301*$M301*$AW$12)</f>
        <v>0</v>
      </c>
      <c r="AX301" s="182">
        <v>7</v>
      </c>
      <c r="AY301" s="187">
        <f>(AX301*$E301*$F301*$G301*$M301*$AY$12)</f>
        <v>198201.64056000003</v>
      </c>
      <c r="AZ301" s="182"/>
      <c r="BA301" s="182">
        <f>(AZ301*$E301*$F301*$G301*$L301*$BA$12)</f>
        <v>0</v>
      </c>
      <c r="BB301" s="182"/>
      <c r="BC301" s="182">
        <f>(BB301*$E301*$F301*$G301*$L301*$BC$12)</f>
        <v>0</v>
      </c>
      <c r="BD301" s="182"/>
      <c r="BE301" s="182">
        <f>(BD301*$E301*$F301*$G301*$L301*$BE$12)</f>
        <v>0</v>
      </c>
      <c r="BF301" s="182"/>
      <c r="BG301" s="182">
        <f>(BF301*$E301*$F301*$G301*$L301*$BG$12)</f>
        <v>0</v>
      </c>
      <c r="BH301" s="182"/>
      <c r="BI301" s="183">
        <f>(BH301*$E301*$F301*$G301*$L301*$BI$12)</f>
        <v>0</v>
      </c>
      <c r="BJ301" s="182"/>
      <c r="BK301" s="183">
        <f>(BJ301*$E301*$F301*$G301*$L301*$BK$12)</f>
        <v>0</v>
      </c>
      <c r="BL301" s="182">
        <v>37</v>
      </c>
      <c r="BM301" s="182">
        <f t="shared" ref="BM301" si="1151">(BL301/12*11*$E301*$F301*$G301*$L301*$BM$12)+(BL301/12*$E301*$F301*$G301*$L301*$BM$12*$BM$15)</f>
        <v>1107858.9238094841</v>
      </c>
      <c r="BN301" s="182">
        <v>100</v>
      </c>
      <c r="BO301" s="182">
        <f>(BN301*$E301*$F301*$G301*$M301*$BO$12)</f>
        <v>2831452.0079999999</v>
      </c>
      <c r="BP301" s="182"/>
      <c r="BQ301" s="182">
        <f>(BP301*$E301*$F301*$G301*$M301*$BQ$12)</f>
        <v>0</v>
      </c>
      <c r="BR301" s="182"/>
      <c r="BS301" s="183">
        <f>(BR301*$E301*$F301*$G301*$M301*$BS$12)</f>
        <v>0</v>
      </c>
      <c r="BT301" s="194">
        <v>12</v>
      </c>
      <c r="BU301" s="182">
        <f t="shared" ref="BU301" si="1152">(BT301*$E301*$F301*$G301*$M301*$BU$12)/12*10+(BT301*$E301*$F301*$G301*$M301*$BU$13)/12+(BT301*$E301*$F301*$G301*$M301*$BU$13*$BU$15)/12</f>
        <v>344099.05223796482</v>
      </c>
      <c r="BV301" s="182">
        <v>8</v>
      </c>
      <c r="BW301" s="182">
        <f>(BV301*$E301*$F301*$G301*$M301*$BW$12)</f>
        <v>185331.40415999998</v>
      </c>
      <c r="BX301" s="182">
        <v>33</v>
      </c>
      <c r="BY301" s="183">
        <f t="shared" ref="BY301" si="1153">(BX301*$E301*$F301*$G301*$M301*$BY$12)/12*11+(BX301*$E301*$F301*$G301*$M301*$BY$12*$BY$15)/12</f>
        <v>1145616.8082448319</v>
      </c>
      <c r="BZ301" s="182">
        <v>23</v>
      </c>
      <c r="CA301" s="187">
        <f t="shared" ref="CA301" si="1154">(BZ301*$E301*$F301*$G301*$M301*$CA$12)/12*11+(BZ301*$E301*$F301*$G301*$M301*$CA$12*$CA$15)/12</f>
        <v>773739.95052521979</v>
      </c>
      <c r="CB301" s="182"/>
      <c r="CC301" s="182">
        <f>(CB301*$E301*$F301*$G301*$L301*$CC$12)</f>
        <v>0</v>
      </c>
      <c r="CD301" s="182"/>
      <c r="CE301" s="182">
        <f>(CD301*$E301*$F301*$G301*$L301*$CE$12)</f>
        <v>0</v>
      </c>
      <c r="CF301" s="182"/>
      <c r="CG301" s="182">
        <f>(CF301*$E301*$F301*$G301*$L301*$CG$12)</f>
        <v>0</v>
      </c>
      <c r="CH301" s="182">
        <v>20</v>
      </c>
      <c r="CI301" s="182">
        <f t="shared" ref="CI301" si="1155">(CH301*$E301*$F301*$G301*$M301*$CI$12)/12*11+(CH301*$E301*$F301*$G301*$M301*$CI$12*$CI$15)/12</f>
        <v>573721.67609735997</v>
      </c>
      <c r="CJ301" s="182"/>
      <c r="CK301" s="182"/>
      <c r="CL301" s="182"/>
      <c r="CM301" s="183">
        <f>(CL301*$E301*$F301*$G301*$L301*$CM$12)</f>
        <v>0</v>
      </c>
      <c r="CN301" s="182"/>
      <c r="CO301" s="183">
        <f>(CN301*$E301*$F301*$G301*$L301*$CO$12)</f>
        <v>0</v>
      </c>
      <c r="CP301" s="182">
        <v>35</v>
      </c>
      <c r="CQ301" s="182">
        <f>(CP301*$E301*$F301*$G301*$L301*$CQ$12)/12*11+(CP301*$E301*$F301*$G301*$L301*$CQ$12*$CQ$15)/12</f>
        <v>832086.52373279992</v>
      </c>
      <c r="CR301" s="182">
        <v>88</v>
      </c>
      <c r="CS301" s="182">
        <f t="shared" ref="CS301" si="1156">(CR301*$E301*$F301*$G301*$L301*$CS$12)/12*10+(CR301*$E301*$F301*$G301*$L301*$CS$13)/12+(CR301*$E301*$F301*$G301*$L301*$CS$13*$CS$15)/12</f>
        <v>2263025.4331628531</v>
      </c>
      <c r="CT301" s="182">
        <v>115</v>
      </c>
      <c r="CU301" s="182">
        <f t="shared" ref="CU301" si="1157">(CT301*$E301*$F301*$G301*$L301*$CU$12)/12*11+(CT301*$E301*$F301*$G301*$L301*$CU$12*$CU$15)/12</f>
        <v>2589617.0484848996</v>
      </c>
      <c r="CV301" s="182">
        <v>94</v>
      </c>
      <c r="CW301" s="182">
        <v>2265161.4099999997</v>
      </c>
      <c r="CX301" s="182">
        <v>50</v>
      </c>
      <c r="CY301" s="182">
        <f t="shared" ref="CY301" si="1158">(CX301/12*11*$E301*$F301*$G301*$M301*$CY$12)+(CX301/12*$E301*$F301*$G301*$M301*$CY$15*$CY$12)</f>
        <v>1388943.0420516003</v>
      </c>
      <c r="CZ301" s="182"/>
      <c r="DA301" s="182">
        <v>0</v>
      </c>
      <c r="DB301" s="188"/>
      <c r="DC301" s="182">
        <f>(DB301*$E301*$F301*$G301*$M301*$DC$12)</f>
        <v>0</v>
      </c>
      <c r="DD301" s="182"/>
      <c r="DE301" s="187">
        <f>(DD301*$E301*$F301*$G301*$M301*DE$12)</f>
        <v>0</v>
      </c>
      <c r="DF301" s="182"/>
      <c r="DG301" s="182">
        <f>(DF301*$E301*$F301*$G301*$M301*$DG$12)</f>
        <v>0</v>
      </c>
      <c r="DH301" s="189">
        <f>ROUND(5*0.75,0)</f>
        <v>4</v>
      </c>
      <c r="DI301" s="182">
        <f>(DH301*$E301*$F301*$G301*$M301*$DI$12)</f>
        <v>102961.89119999998</v>
      </c>
      <c r="DJ301" s="182">
        <v>20</v>
      </c>
      <c r="DK301" s="182">
        <f>(DJ301/12*11*$E301*$F301*$G301*$M301*$DK$12)+(DJ301/12*1*$E301*$F301*$M301*$G301*$DK$12*$DK$15)</f>
        <v>560983.57412439992</v>
      </c>
      <c r="DL301" s="182">
        <f>ROUND(20*0.75,0)</f>
        <v>15</v>
      </c>
      <c r="DM301" s="182">
        <f>(DL301*$E301*$F301*$G301*$N301*$DM$12)</f>
        <v>512511.19949999999</v>
      </c>
      <c r="DN301" s="182">
        <f>ROUND(2*0.75,0)</f>
        <v>2</v>
      </c>
      <c r="DO301" s="190">
        <f>(DN301*$E301*$F301*$G301*$O301*$DO$12)</f>
        <v>78753.589399999997</v>
      </c>
      <c r="DP301" s="187"/>
      <c r="DQ301" s="187"/>
      <c r="DR301" s="183">
        <f t="shared" si="1146"/>
        <v>1486</v>
      </c>
      <c r="DS301" s="183">
        <f t="shared" si="1146"/>
        <v>38328476.579577282</v>
      </c>
      <c r="DT301" s="182">
        <v>1476</v>
      </c>
      <c r="DU301" s="182">
        <v>36665822.208566666</v>
      </c>
      <c r="DV301" s="167">
        <f t="shared" si="1035"/>
        <v>10</v>
      </c>
      <c r="DW301" s="167">
        <f t="shared" si="1035"/>
        <v>1662654.3710106164</v>
      </c>
    </row>
    <row r="302" spans="1:127" s="6" customFormat="1" ht="30.75" customHeight="1" x14ac:dyDescent="0.25">
      <c r="A302" s="154"/>
      <c r="B302" s="176">
        <v>260</v>
      </c>
      <c r="C302" s="177" t="s">
        <v>681</v>
      </c>
      <c r="D302" s="210" t="s">
        <v>682</v>
      </c>
      <c r="E302" s="158">
        <v>25969</v>
      </c>
      <c r="F302" s="168">
        <v>0.7</v>
      </c>
      <c r="G302" s="168">
        <v>1</v>
      </c>
      <c r="H302" s="169"/>
      <c r="I302" s="169"/>
      <c r="J302" s="169"/>
      <c r="K302" s="106"/>
      <c r="L302" s="180">
        <v>1.4</v>
      </c>
      <c r="M302" s="180">
        <v>1.68</v>
      </c>
      <c r="N302" s="180">
        <v>2.23</v>
      </c>
      <c r="O302" s="181">
        <v>2.57</v>
      </c>
      <c r="P302" s="182">
        <v>117</v>
      </c>
      <c r="Q302" s="182">
        <f t="shared" ref="Q302:Q303" si="1159">(P302*$E302*$F302*$G302*$L302)</f>
        <v>2977605.54</v>
      </c>
      <c r="R302" s="182">
        <v>410</v>
      </c>
      <c r="S302" s="187">
        <f t="shared" ref="S302:S303" si="1160">(R302*$E302*$F302*$G302*$L302)</f>
        <v>10434344.199999997</v>
      </c>
      <c r="T302" s="182">
        <v>18</v>
      </c>
      <c r="U302" s="182">
        <f t="shared" ref="U302:U303" si="1161">(T302*$E302*$F302*$G302*$L302)</f>
        <v>458093.15999999992</v>
      </c>
      <c r="V302" s="182"/>
      <c r="W302" s="182">
        <f t="shared" ref="W302:W303" si="1162">(V302*$E302*$F302*$G302*$L302)</f>
        <v>0</v>
      </c>
      <c r="X302" s="182"/>
      <c r="Y302" s="182">
        <v>0</v>
      </c>
      <c r="Z302" s="182"/>
      <c r="AA302" s="182">
        <v>0</v>
      </c>
      <c r="AB302" s="182">
        <f t="shared" si="1144"/>
        <v>0</v>
      </c>
      <c r="AC302" s="182">
        <f t="shared" si="1144"/>
        <v>0</v>
      </c>
      <c r="AD302" s="182"/>
      <c r="AE302" s="182">
        <f t="shared" ref="AE302:AE303" si="1163">(AD302*$E302*$F302*$G302*$L302)</f>
        <v>0</v>
      </c>
      <c r="AF302" s="182"/>
      <c r="AG302" s="182"/>
      <c r="AH302" s="182">
        <v>50</v>
      </c>
      <c r="AI302" s="182">
        <f t="shared" ref="AI302:AI303" si="1164">(AH302*$E302*$F302*$G302*$L302)</f>
        <v>1272481</v>
      </c>
      <c r="AJ302" s="182"/>
      <c r="AK302" s="182"/>
      <c r="AL302" s="182"/>
      <c r="AM302" s="182"/>
      <c r="AN302" s="184"/>
      <c r="AO302" s="182">
        <f t="shared" ref="AO302:AO303" si="1165">(AN302*$E302*$F302*$G302*$L302)</f>
        <v>0</v>
      </c>
      <c r="AP302" s="182">
        <v>140</v>
      </c>
      <c r="AQ302" s="182">
        <f t="shared" ref="AQ302:AQ303" si="1166">(AP302*$E302*$F302*$G302*$L302)</f>
        <v>3562946.8</v>
      </c>
      <c r="AR302" s="182">
        <v>482</v>
      </c>
      <c r="AS302" s="182">
        <f t="shared" ref="AS302:AS303" si="1167">(AR302*$E302*$F302*$G302*$L302)</f>
        <v>12266716.839999998</v>
      </c>
      <c r="AT302" s="182">
        <v>146</v>
      </c>
      <c r="AU302" s="183">
        <f t="shared" ref="AU302:AU303" si="1168">(AT302*$E302*$F302*$G302*$M302)</f>
        <v>4458773.4239999996</v>
      </c>
      <c r="AV302" s="188"/>
      <c r="AW302" s="182">
        <f t="shared" ref="AW302" si="1169">(AV302*$E302*$F302*$G302*$M302)</f>
        <v>0</v>
      </c>
      <c r="AX302" s="182">
        <v>100</v>
      </c>
      <c r="AY302" s="187">
        <f t="shared" ref="AY302:AY303" si="1170">(AX302*$E302*$F302*$G302*$M302)</f>
        <v>3053954.4</v>
      </c>
      <c r="AZ302" s="182"/>
      <c r="BA302" s="182">
        <f>(AZ302*$E302*$F302*$G302*$L302*$AO$12)</f>
        <v>0</v>
      </c>
      <c r="BB302" s="182"/>
      <c r="BC302" s="182">
        <f t="shared" ref="BC302:BC303" si="1171">(BB302*$E302*$F302*$G302*$L302*BC$12)</f>
        <v>0</v>
      </c>
      <c r="BD302" s="182"/>
      <c r="BE302" s="182">
        <f>(BD302*$E302*$F302*$G302*$L302*BE$12)</f>
        <v>0</v>
      </c>
      <c r="BF302" s="182"/>
      <c r="BG302" s="182">
        <f t="shared" ref="BG302:BG303" si="1172">(BF302*$E302*$F302*$G302*$L302)</f>
        <v>0</v>
      </c>
      <c r="BH302" s="182"/>
      <c r="BI302" s="182">
        <f t="shared" ref="BI302:BI303" si="1173">(BH302*$E302*$F302*$G302*$L302)</f>
        <v>0</v>
      </c>
      <c r="BJ302" s="182"/>
      <c r="BK302" s="182"/>
      <c r="BL302" s="182">
        <v>72</v>
      </c>
      <c r="BM302" s="182">
        <f t="shared" ref="BM302:BM303" si="1174">(BL302*$E302*$F302*$G302*$L302)</f>
        <v>1832372.6399999997</v>
      </c>
      <c r="BN302" s="182">
        <v>265</v>
      </c>
      <c r="BO302" s="182">
        <f t="shared" ref="BO302:BO303" si="1175">(BN302*$E302*$F302*$G302*$M302)</f>
        <v>8092979.1600000001</v>
      </c>
      <c r="BP302" s="182"/>
      <c r="BQ302" s="182">
        <f t="shared" ref="BQ302:BQ303" si="1176">(BP302*$E302*$F302*$G302*$M302)</f>
        <v>0</v>
      </c>
      <c r="BR302" s="182"/>
      <c r="BS302" s="182">
        <f t="shared" ref="BS302:BS303" si="1177">(BR302*$E302*$F302*$G302*$M302)</f>
        <v>0</v>
      </c>
      <c r="BT302" s="182">
        <v>30</v>
      </c>
      <c r="BU302" s="182">
        <f t="shared" ref="BU302:BU303" si="1178">(BT302*$E302*$F302*$G302*$M302)</f>
        <v>916186.32</v>
      </c>
      <c r="BV302" s="182">
        <v>117</v>
      </c>
      <c r="BW302" s="182">
        <f t="shared" ref="BW302:BW303" si="1179">(BV302*$E302*$F302*$G302*$M302)</f>
        <v>3573126.648</v>
      </c>
      <c r="BX302" s="182">
        <v>89</v>
      </c>
      <c r="BY302" s="182">
        <f t="shared" ref="BY302:BY303" si="1180">(BX302*$E302*$F302*$G302*$M302)</f>
        <v>2718019.4159999997</v>
      </c>
      <c r="BZ302" s="182">
        <v>195</v>
      </c>
      <c r="CA302" s="187">
        <f t="shared" ref="CA302:CA303" si="1181">(BZ302*$E302*$F302*$G302*$M302)</f>
        <v>5955211.0800000001</v>
      </c>
      <c r="CB302" s="182"/>
      <c r="CC302" s="182">
        <f t="shared" ref="CC302:CC303" si="1182">(CB302*$E302*$F302*$G302*$L302)</f>
        <v>0</v>
      </c>
      <c r="CD302" s="182"/>
      <c r="CE302" s="183">
        <f t="shared" ref="CE302:CE303" si="1183">(CD302*$E302*$F302*$G302*$L302)</f>
        <v>0</v>
      </c>
      <c r="CF302" s="182"/>
      <c r="CG302" s="182">
        <f t="shared" ref="CG302:CG303" si="1184">(CF302*$E302*$F302*$G302*$L302)</f>
        <v>0</v>
      </c>
      <c r="CH302" s="182">
        <v>100</v>
      </c>
      <c r="CI302" s="182">
        <f t="shared" ref="CI302:CI303" si="1185">(CH302*$E302*$F302*$G302*$M302)</f>
        <v>3053954.4</v>
      </c>
      <c r="CJ302" s="182"/>
      <c r="CK302" s="182"/>
      <c r="CL302" s="182">
        <v>94</v>
      </c>
      <c r="CM302" s="182">
        <f t="shared" ref="CM302:CM303" si="1186">(CL302*$E302*$F302*$G302*$L302)</f>
        <v>2392264.2799999998</v>
      </c>
      <c r="CN302" s="182">
        <v>15</v>
      </c>
      <c r="CO302" s="182">
        <f t="shared" ref="CO302:CO303" si="1187">(CN302*$E302*$F302*$G302*$L302)</f>
        <v>381744.3</v>
      </c>
      <c r="CP302" s="182">
        <v>70</v>
      </c>
      <c r="CQ302" s="182">
        <f t="shared" ref="CQ302:CQ303" si="1188">(CP302*$E302*$F302*$G302*$L302)</f>
        <v>1781473.4</v>
      </c>
      <c r="CR302" s="182">
        <v>138</v>
      </c>
      <c r="CS302" s="182">
        <f t="shared" ref="CS302:CS303" si="1189">(CR302*$E302*$F302*$G302*$L302)</f>
        <v>3512047.5599999996</v>
      </c>
      <c r="CT302" s="182">
        <v>210</v>
      </c>
      <c r="CU302" s="182">
        <f t="shared" ref="CU302:CU303" si="1190">(CT302*$E302*$F302*$G302*$L302)</f>
        <v>5344420.1999999993</v>
      </c>
      <c r="CV302" s="182">
        <v>146</v>
      </c>
      <c r="CW302" s="182">
        <v>4443503.0800000047</v>
      </c>
      <c r="CX302" s="182">
        <v>120</v>
      </c>
      <c r="CY302" s="182">
        <f t="shared" ref="CY302:CY303" si="1191">(CX302*$E302*$F302*$G302*$M302)</f>
        <v>3664745.28</v>
      </c>
      <c r="CZ302" s="182">
        <v>266</v>
      </c>
      <c r="DA302" s="182">
        <v>7993724.640000008</v>
      </c>
      <c r="DB302" s="188">
        <v>320</v>
      </c>
      <c r="DC302" s="182">
        <f t="shared" ref="DC302:DC303" si="1192">(DB302*$E302*$F302*$G302*$M302)</f>
        <v>9772654.0800000001</v>
      </c>
      <c r="DD302" s="182"/>
      <c r="DE302" s="187">
        <f t="shared" ref="DE302:DE303" si="1193">(DD302*$E302*$F302*$G302*$M302)</f>
        <v>0</v>
      </c>
      <c r="DF302" s="182"/>
      <c r="DG302" s="182"/>
      <c r="DH302" s="189">
        <f>ROUND(6*0.75,0)</f>
        <v>5</v>
      </c>
      <c r="DI302" s="182">
        <f>(DH302*$E302*$F302*$G302*$M302)</f>
        <v>152697.72</v>
      </c>
      <c r="DJ302" s="182">
        <v>110</v>
      </c>
      <c r="DK302" s="182">
        <f t="shared" ref="DK302:DK303" si="1194">(DJ302*$E302*$F302*$G302*$M302)</f>
        <v>3359349.8399999994</v>
      </c>
      <c r="DL302" s="182">
        <f>ROUND(50*0.75,0)</f>
        <v>38</v>
      </c>
      <c r="DM302" s="182">
        <f t="shared" ref="DM302:DM303" si="1195">(DL302*$E302*$F302*$G302*$N302)</f>
        <v>1540429.1419999998</v>
      </c>
      <c r="DN302" s="182">
        <f>ROUND(40*0.75,0)</f>
        <v>30</v>
      </c>
      <c r="DO302" s="187">
        <f t="shared" ref="DO302:DO303" si="1196">(DN302*$E302*$F302*$G302*$O302)</f>
        <v>1401546.93</v>
      </c>
      <c r="DP302" s="187"/>
      <c r="DQ302" s="187"/>
      <c r="DR302" s="183">
        <f t="shared" si="1146"/>
        <v>3893</v>
      </c>
      <c r="DS302" s="183">
        <f t="shared" si="1146"/>
        <v>110367365.48000002</v>
      </c>
      <c r="DT302" s="182">
        <v>3975</v>
      </c>
      <c r="DU302" s="182">
        <v>112454234.32000002</v>
      </c>
      <c r="DV302" s="167">
        <f t="shared" si="1035"/>
        <v>-82</v>
      </c>
      <c r="DW302" s="167">
        <f t="shared" si="1035"/>
        <v>-2086868.8400000036</v>
      </c>
    </row>
    <row r="303" spans="1:127" s="6" customFormat="1" ht="47.25" customHeight="1" x14ac:dyDescent="0.25">
      <c r="A303" s="154"/>
      <c r="B303" s="176">
        <v>261</v>
      </c>
      <c r="C303" s="177" t="s">
        <v>683</v>
      </c>
      <c r="D303" s="210" t="s">
        <v>684</v>
      </c>
      <c r="E303" s="158">
        <v>25969</v>
      </c>
      <c r="F303" s="179">
        <v>0.78</v>
      </c>
      <c r="G303" s="168">
        <v>1</v>
      </c>
      <c r="H303" s="169"/>
      <c r="I303" s="169"/>
      <c r="J303" s="169"/>
      <c r="K303" s="106"/>
      <c r="L303" s="180">
        <v>1.4</v>
      </c>
      <c r="M303" s="180">
        <v>1.68</v>
      </c>
      <c r="N303" s="180">
        <v>2.23</v>
      </c>
      <c r="O303" s="181">
        <v>2.57</v>
      </c>
      <c r="P303" s="182">
        <v>190</v>
      </c>
      <c r="Q303" s="182">
        <f t="shared" si="1159"/>
        <v>5388048.1200000001</v>
      </c>
      <c r="R303" s="182">
        <v>100</v>
      </c>
      <c r="S303" s="187">
        <f t="shared" si="1160"/>
        <v>2835814.8</v>
      </c>
      <c r="T303" s="182"/>
      <c r="U303" s="182">
        <f t="shared" si="1161"/>
        <v>0</v>
      </c>
      <c r="V303" s="182"/>
      <c r="W303" s="182">
        <f t="shared" si="1162"/>
        <v>0</v>
      </c>
      <c r="X303" s="182"/>
      <c r="Y303" s="182">
        <v>0</v>
      </c>
      <c r="Z303" s="182"/>
      <c r="AA303" s="182">
        <v>0</v>
      </c>
      <c r="AB303" s="182">
        <f t="shared" si="1144"/>
        <v>0</v>
      </c>
      <c r="AC303" s="182">
        <f t="shared" si="1144"/>
        <v>0</v>
      </c>
      <c r="AD303" s="182"/>
      <c r="AE303" s="182">
        <f t="shared" si="1163"/>
        <v>0</v>
      </c>
      <c r="AF303" s="182"/>
      <c r="AG303" s="182"/>
      <c r="AH303" s="182">
        <v>200</v>
      </c>
      <c r="AI303" s="182">
        <f t="shared" si="1164"/>
        <v>5671629.5999999996</v>
      </c>
      <c r="AJ303" s="182"/>
      <c r="AK303" s="182"/>
      <c r="AL303" s="182"/>
      <c r="AM303" s="182"/>
      <c r="AN303" s="184"/>
      <c r="AO303" s="182">
        <f t="shared" si="1165"/>
        <v>0</v>
      </c>
      <c r="AP303" s="182">
        <v>157</v>
      </c>
      <c r="AQ303" s="182">
        <f t="shared" si="1166"/>
        <v>4452229.2359999996</v>
      </c>
      <c r="AR303" s="182">
        <v>537</v>
      </c>
      <c r="AS303" s="182">
        <f t="shared" si="1167"/>
        <v>15228325.475999998</v>
      </c>
      <c r="AT303" s="317">
        <v>364</v>
      </c>
      <c r="AU303" s="183">
        <f t="shared" si="1168"/>
        <v>12386839.046399999</v>
      </c>
      <c r="AV303" s="188">
        <v>1</v>
      </c>
      <c r="AW303" s="182">
        <v>17014.89</v>
      </c>
      <c r="AX303" s="182">
        <v>95</v>
      </c>
      <c r="AY303" s="187">
        <f t="shared" si="1170"/>
        <v>3232828.872</v>
      </c>
      <c r="AZ303" s="182"/>
      <c r="BA303" s="182">
        <f>(AZ303*$E303*$F303*$G303*$L303*$AO$12)</f>
        <v>0</v>
      </c>
      <c r="BB303" s="182"/>
      <c r="BC303" s="182">
        <f t="shared" si="1171"/>
        <v>0</v>
      </c>
      <c r="BD303" s="182"/>
      <c r="BE303" s="182">
        <f>(BD303*$E303*$F303*$G303*$L303*BE$12)</f>
        <v>0</v>
      </c>
      <c r="BF303" s="182"/>
      <c r="BG303" s="182">
        <f t="shared" si="1172"/>
        <v>0</v>
      </c>
      <c r="BH303" s="182"/>
      <c r="BI303" s="182">
        <f t="shared" si="1173"/>
        <v>0</v>
      </c>
      <c r="BJ303" s="182"/>
      <c r="BK303" s="182"/>
      <c r="BL303" s="182">
        <v>98</v>
      </c>
      <c r="BM303" s="182">
        <f t="shared" si="1174"/>
        <v>2779098.5040000002</v>
      </c>
      <c r="BN303" s="182">
        <v>210</v>
      </c>
      <c r="BO303" s="182">
        <f t="shared" si="1175"/>
        <v>7146253.2960000001</v>
      </c>
      <c r="BP303" s="182"/>
      <c r="BQ303" s="182">
        <f t="shared" si="1176"/>
        <v>0</v>
      </c>
      <c r="BR303" s="182"/>
      <c r="BS303" s="182">
        <f t="shared" si="1177"/>
        <v>0</v>
      </c>
      <c r="BT303" s="182">
        <v>72</v>
      </c>
      <c r="BU303" s="182">
        <f t="shared" si="1178"/>
        <v>2450143.9871999999</v>
      </c>
      <c r="BV303" s="182">
        <v>78</v>
      </c>
      <c r="BW303" s="182">
        <f t="shared" si="1179"/>
        <v>2654322.6527999998</v>
      </c>
      <c r="BX303" s="182">
        <v>122</v>
      </c>
      <c r="BY303" s="182">
        <f t="shared" si="1180"/>
        <v>4151632.8671999997</v>
      </c>
      <c r="BZ303" s="182">
        <v>126</v>
      </c>
      <c r="CA303" s="187">
        <f t="shared" si="1181"/>
        <v>4287751.9776000008</v>
      </c>
      <c r="CB303" s="182"/>
      <c r="CC303" s="182">
        <f t="shared" si="1182"/>
        <v>0</v>
      </c>
      <c r="CD303" s="182"/>
      <c r="CE303" s="183">
        <f t="shared" si="1183"/>
        <v>0</v>
      </c>
      <c r="CF303" s="182"/>
      <c r="CG303" s="182">
        <f t="shared" si="1184"/>
        <v>0</v>
      </c>
      <c r="CH303" s="182">
        <v>110</v>
      </c>
      <c r="CI303" s="182">
        <f t="shared" si="1185"/>
        <v>3743275.5360000003</v>
      </c>
      <c r="CJ303" s="182"/>
      <c r="CK303" s="182"/>
      <c r="CL303" s="182">
        <v>150</v>
      </c>
      <c r="CM303" s="182">
        <f t="shared" si="1186"/>
        <v>4253722.2</v>
      </c>
      <c r="CN303" s="182">
        <v>500</v>
      </c>
      <c r="CO303" s="182">
        <f t="shared" si="1187"/>
        <v>14179074</v>
      </c>
      <c r="CP303" s="182">
        <v>70</v>
      </c>
      <c r="CQ303" s="182">
        <f t="shared" si="1188"/>
        <v>1985070.36</v>
      </c>
      <c r="CR303" s="182">
        <v>239</v>
      </c>
      <c r="CS303" s="182">
        <f t="shared" si="1189"/>
        <v>6777597.3720000004</v>
      </c>
      <c r="CT303" s="182">
        <v>250</v>
      </c>
      <c r="CU303" s="182">
        <f t="shared" si="1190"/>
        <v>7089537</v>
      </c>
      <c r="CV303" s="182">
        <v>185</v>
      </c>
      <c r="CW303" s="182">
        <v>6167897.6500000022</v>
      </c>
      <c r="CX303" s="182">
        <v>120</v>
      </c>
      <c r="CY303" s="182">
        <f t="shared" si="1191"/>
        <v>4083573.3119999999</v>
      </c>
      <c r="CZ303" s="182">
        <v>106</v>
      </c>
      <c r="DA303" s="182">
        <v>3343425.9699999951</v>
      </c>
      <c r="DB303" s="188">
        <v>150</v>
      </c>
      <c r="DC303" s="182">
        <f t="shared" si="1192"/>
        <v>5104466.6399999997</v>
      </c>
      <c r="DD303" s="182"/>
      <c r="DE303" s="187">
        <f t="shared" si="1193"/>
        <v>0</v>
      </c>
      <c r="DF303" s="182"/>
      <c r="DG303" s="182"/>
      <c r="DH303" s="189">
        <f>ROUND(5*0.75,0)</f>
        <v>4</v>
      </c>
      <c r="DI303" s="182">
        <f>(DH303*$E303*$F303*$G303*$M303)</f>
        <v>136119.11040000001</v>
      </c>
      <c r="DJ303" s="182">
        <v>186</v>
      </c>
      <c r="DK303" s="182">
        <f t="shared" si="1194"/>
        <v>6329538.6335999994</v>
      </c>
      <c r="DL303" s="182">
        <f>ROUND(10*0.75,0)</f>
        <v>8</v>
      </c>
      <c r="DM303" s="182">
        <f t="shared" si="1195"/>
        <v>361363.82880000002</v>
      </c>
      <c r="DN303" s="182">
        <f>ROUND(50*0.75,0)</f>
        <v>38</v>
      </c>
      <c r="DO303" s="187">
        <f t="shared" si="1196"/>
        <v>1978183.3811999999</v>
      </c>
      <c r="DP303" s="187"/>
      <c r="DQ303" s="187"/>
      <c r="DR303" s="183">
        <f t="shared" si="1146"/>
        <v>4466</v>
      </c>
      <c r="DS303" s="183">
        <f t="shared" si="1146"/>
        <v>138214778.31919998</v>
      </c>
      <c r="DT303" s="182">
        <v>4774</v>
      </c>
      <c r="DU303" s="182">
        <v>148690278.18919995</v>
      </c>
      <c r="DV303" s="167">
        <f t="shared" si="1035"/>
        <v>-308</v>
      </c>
      <c r="DW303" s="167">
        <f t="shared" si="1035"/>
        <v>-10475499.869999975</v>
      </c>
    </row>
    <row r="304" spans="1:127" s="6" customFormat="1" ht="45" customHeight="1" x14ac:dyDescent="0.25">
      <c r="A304" s="154"/>
      <c r="B304" s="176">
        <v>262</v>
      </c>
      <c r="C304" s="177" t="s">
        <v>685</v>
      </c>
      <c r="D304" s="210" t="s">
        <v>686</v>
      </c>
      <c r="E304" s="158">
        <v>25969</v>
      </c>
      <c r="F304" s="168">
        <v>1.7</v>
      </c>
      <c r="G304" s="168">
        <v>1</v>
      </c>
      <c r="H304" s="242"/>
      <c r="I304" s="242"/>
      <c r="J304" s="242"/>
      <c r="K304" s="106"/>
      <c r="L304" s="180">
        <v>1.4</v>
      </c>
      <c r="M304" s="180">
        <v>1.68</v>
      </c>
      <c r="N304" s="180">
        <v>2.23</v>
      </c>
      <c r="O304" s="181">
        <v>2.57</v>
      </c>
      <c r="P304" s="182">
        <v>400</v>
      </c>
      <c r="Q304" s="182">
        <f>(P304*$E304*$F304*$G304*$L304*$Q$12)</f>
        <v>27194736.800000001</v>
      </c>
      <c r="R304" s="182">
        <v>100</v>
      </c>
      <c r="S304" s="182">
        <f>(R304*$E304*$F304*$G304*$L304*$S$12)</f>
        <v>6798684.2000000002</v>
      </c>
      <c r="T304" s="182"/>
      <c r="U304" s="182">
        <f t="shared" ref="U304:U306" si="1197">(T304/12*11*$E304*$F304*$G304*$L304*$U$12)+(T304/12*1*$E304*$F304*$G304*$L304*$U$14)</f>
        <v>0</v>
      </c>
      <c r="V304" s="182"/>
      <c r="W304" s="183">
        <f t="shared" ref="W304:W306" si="1198">(V304*$E304*$F304*$G304*$L304*$W$12)/12*10+(V304*$E304*$F304*$G304*$L304*$W$13)/12*1++(V304*$E304*$F304*$G304*$L304*$W$14)/12*1</f>
        <v>0</v>
      </c>
      <c r="X304" s="183"/>
      <c r="Y304" s="183">
        <v>0</v>
      </c>
      <c r="Z304" s="183"/>
      <c r="AA304" s="183">
        <v>0</v>
      </c>
      <c r="AB304" s="182">
        <f t="shared" si="1144"/>
        <v>0</v>
      </c>
      <c r="AC304" s="182">
        <f t="shared" si="1144"/>
        <v>0</v>
      </c>
      <c r="AD304" s="182"/>
      <c r="AE304" s="182">
        <f>(AD304*$E304*$F304*$G304*$L304*$AE$12)</f>
        <v>0</v>
      </c>
      <c r="AF304" s="182"/>
      <c r="AG304" s="182"/>
      <c r="AH304" s="182">
        <v>10</v>
      </c>
      <c r="AI304" s="182">
        <f>(AH304*$E304*$F304*$G304*$L304*$AI$12)</f>
        <v>679868.42</v>
      </c>
      <c r="AJ304" s="182"/>
      <c r="AK304" s="182"/>
      <c r="AL304" s="182"/>
      <c r="AM304" s="182"/>
      <c r="AN304" s="184"/>
      <c r="AO304" s="182">
        <f>(AN304*$E304*$F304*$G304*$L304*$AO$12)</f>
        <v>0</v>
      </c>
      <c r="AP304" s="182"/>
      <c r="AQ304" s="183">
        <f>(AP304*$E304*$F304*$G304*$L304*$AQ$12)</f>
        <v>0</v>
      </c>
      <c r="AR304" s="182"/>
      <c r="AS304" s="182">
        <f t="shared" ref="AS304:AS306" si="1199">(AR304*$E304*$F304*$G304*$L304*$AS$12)/12*10+(AR304*$E304*$F304*$G304*$L304*$AS$13)/12*1+(AR304*$E304*$F304*$G304*$L304*$AS$14)/12*1</f>
        <v>0</v>
      </c>
      <c r="AT304" s="182">
        <f>6+3</f>
        <v>9</v>
      </c>
      <c r="AU304" s="182">
        <f t="shared" ref="AU304:AU306" si="1200">(AT304*$E304*$F304*$G304*$M304*$AU$12)/12*10+(AT304*$E304*$F304*$G304*$M304*$AU$13)/12+(AT304*$E304*$F304*$G304*$M304*$AU$14*$AU$15)/12</f>
        <v>769234.93586881203</v>
      </c>
      <c r="AV304" s="188">
        <v>0</v>
      </c>
      <c r="AW304" s="182">
        <v>0</v>
      </c>
      <c r="AX304" s="182"/>
      <c r="AY304" s="187">
        <f>(AX304*$E304*$F304*$G304*$M304*$AY$12)</f>
        <v>0</v>
      </c>
      <c r="AZ304" s="182"/>
      <c r="BA304" s="182">
        <f>(AZ304*$E304*$F304*$G304*$L304*$BA$12)</f>
        <v>0</v>
      </c>
      <c r="BB304" s="182">
        <v>0</v>
      </c>
      <c r="BC304" s="182">
        <f>(BB304*$E304*$F304*$G304*$L304*$BC$12)</f>
        <v>0</v>
      </c>
      <c r="BD304" s="182"/>
      <c r="BE304" s="182">
        <f>(BD304*$E304*$F304*$G304*$L304*$BE$12)</f>
        <v>0</v>
      </c>
      <c r="BF304" s="182"/>
      <c r="BG304" s="182">
        <f>(BF304*$E304*$F304*$G304*$L304*$BG$12)</f>
        <v>0</v>
      </c>
      <c r="BH304" s="182"/>
      <c r="BI304" s="183">
        <f>(BH304*$E304*$F304*$G304*$L304*$BI$12)</f>
        <v>0</v>
      </c>
      <c r="BJ304" s="182"/>
      <c r="BK304" s="183">
        <f>(BJ304*$E304*$F304*$G304*$L304*$BK$12)</f>
        <v>0</v>
      </c>
      <c r="BL304" s="182"/>
      <c r="BM304" s="182">
        <f>(BL304*$E304*$F304*$G304*$L304*$BM$12)</f>
        <v>0</v>
      </c>
      <c r="BN304" s="182">
        <v>30</v>
      </c>
      <c r="BO304" s="182">
        <f>(BN304*$E304*$F304*$G304*$M304*$BO$12)</f>
        <v>2447526.3119999999</v>
      </c>
      <c r="BP304" s="182"/>
      <c r="BQ304" s="182">
        <f>(BP304*$E304*$F304*$G304*$M304*$BQ$12)</f>
        <v>0</v>
      </c>
      <c r="BR304" s="182"/>
      <c r="BS304" s="183">
        <f>(BR304*$E304*$F304*$G304*$M304*$BS$12)</f>
        <v>0</v>
      </c>
      <c r="BT304" s="182"/>
      <c r="BU304" s="182">
        <f>(BT304*$E304*$F304*$G304*$M304*$BU$12)</f>
        <v>0</v>
      </c>
      <c r="BV304" s="182"/>
      <c r="BW304" s="182">
        <f>(BV304*$E304*$F304*$G304*$M304*$BW$12)</f>
        <v>0</v>
      </c>
      <c r="BX304" s="182"/>
      <c r="BY304" s="183">
        <f>(BX304*$E304*$F304*$G304*$M304*$BY$12)</f>
        <v>0</v>
      </c>
      <c r="BZ304" s="182"/>
      <c r="CA304" s="187">
        <f>(BZ304*$E304*$F304*$G304*$M304*$CA$12)</f>
        <v>0</v>
      </c>
      <c r="CB304" s="182"/>
      <c r="CC304" s="182">
        <f>(CB304*$E304*$F304*$G304*$L304*$CC$12)</f>
        <v>0</v>
      </c>
      <c r="CD304" s="182"/>
      <c r="CE304" s="182">
        <f>(CD304*$E304*$F304*$G304*$L304*$CE$12)</f>
        <v>0</v>
      </c>
      <c r="CF304" s="182"/>
      <c r="CG304" s="182">
        <f>(CF304*$E304*$F304*$G304*$L304*$CG$12)</f>
        <v>0</v>
      </c>
      <c r="CH304" s="182"/>
      <c r="CI304" s="182">
        <f>(CH304*$E304*$F304*$G304*$M304*$CI$12)</f>
        <v>0</v>
      </c>
      <c r="CJ304" s="182"/>
      <c r="CK304" s="182"/>
      <c r="CL304" s="182"/>
      <c r="CM304" s="183">
        <f>(CL304*$E304*$F304*$G304*$L304*$CM$12)</f>
        <v>0</v>
      </c>
      <c r="CN304" s="182"/>
      <c r="CO304" s="183">
        <f>(CN304*$E304*$F304*$G304*$L304*$CO$12)</f>
        <v>0</v>
      </c>
      <c r="CP304" s="182"/>
      <c r="CQ304" s="182">
        <f>(CP304*$E304*$F304*$G304*$L304*$CQ$12)</f>
        <v>0</v>
      </c>
      <c r="CR304" s="182"/>
      <c r="CS304" s="182">
        <f>(CR304*$E304*$F304*$G304*$L304*$CS$12)</f>
        <v>0</v>
      </c>
      <c r="CT304" s="182"/>
      <c r="CU304" s="182">
        <f>(CT304*$E304*$F304*$G304*$L304*$CU$12)</f>
        <v>0</v>
      </c>
      <c r="CV304" s="182"/>
      <c r="CW304" s="182">
        <v>0</v>
      </c>
      <c r="CX304" s="182"/>
      <c r="CY304" s="182">
        <f>(CX304*$E304*$F304*$G304*$M304*$CY$12)</f>
        <v>0</v>
      </c>
      <c r="CZ304" s="182"/>
      <c r="DA304" s="182">
        <v>0</v>
      </c>
      <c r="DB304" s="188"/>
      <c r="DC304" s="182">
        <f>(DB304*$E304*$F304*$G304*$M304*$DC$12)</f>
        <v>0</v>
      </c>
      <c r="DD304" s="182"/>
      <c r="DE304" s="187">
        <f t="shared" ref="DE304:DE306" si="1201">(DD304*$E304*$F304*$G304*$M304*DE$12)</f>
        <v>0</v>
      </c>
      <c r="DF304" s="182"/>
      <c r="DG304" s="182">
        <f>(DF304*$E304*$F304*$G304*$M304*$DG$12)</f>
        <v>0</v>
      </c>
      <c r="DH304" s="189"/>
      <c r="DI304" s="182">
        <f>(DH304*$E304*$F304*$G304*$M304*$DI$12)</f>
        <v>0</v>
      </c>
      <c r="DJ304" s="182"/>
      <c r="DK304" s="182">
        <f>(DJ304*$E304*$F304*$G304*$M304*$DK$12)</f>
        <v>0</v>
      </c>
      <c r="DL304" s="182"/>
      <c r="DM304" s="182">
        <f>(DL304*$E304*$F304*$G304*$N304*$DM$12)</f>
        <v>0</v>
      </c>
      <c r="DN304" s="182"/>
      <c r="DO304" s="190">
        <f>(DN304*$E304*$F304*$G304*$O304*$DO$12)</f>
        <v>0</v>
      </c>
      <c r="DP304" s="187"/>
      <c r="DQ304" s="182">
        <f>(DP304*$E304*$F304*$G304*$L304*DQ$12)/12*6+(DP304*$E304*$F304*$G304*1*DQ$12)/12*6</f>
        <v>0</v>
      </c>
      <c r="DR304" s="183">
        <f t="shared" si="1146"/>
        <v>549</v>
      </c>
      <c r="DS304" s="183">
        <f t="shared" si="1146"/>
        <v>37890050.667868815</v>
      </c>
      <c r="DT304" s="182">
        <v>527</v>
      </c>
      <c r="DU304" s="182">
        <v>36376050.781000003</v>
      </c>
      <c r="DV304" s="167">
        <f t="shared" si="1035"/>
        <v>22</v>
      </c>
      <c r="DW304" s="167">
        <f t="shared" si="1035"/>
        <v>1513999.8868688121</v>
      </c>
    </row>
    <row r="305" spans="1:127" s="6" customFormat="1" ht="15.75" customHeight="1" x14ac:dyDescent="0.25">
      <c r="A305" s="154"/>
      <c r="B305" s="176">
        <v>263</v>
      </c>
      <c r="C305" s="177" t="s">
        <v>687</v>
      </c>
      <c r="D305" s="210" t="s">
        <v>688</v>
      </c>
      <c r="E305" s="158">
        <v>25969</v>
      </c>
      <c r="F305" s="179">
        <v>0.78</v>
      </c>
      <c r="G305" s="168">
        <v>1</v>
      </c>
      <c r="H305" s="169"/>
      <c r="I305" s="169"/>
      <c r="J305" s="169"/>
      <c r="K305" s="106"/>
      <c r="L305" s="180">
        <v>1.4</v>
      </c>
      <c r="M305" s="180">
        <v>1.68</v>
      </c>
      <c r="N305" s="180">
        <v>2.23</v>
      </c>
      <c r="O305" s="181">
        <v>2.57</v>
      </c>
      <c r="P305" s="182">
        <v>58</v>
      </c>
      <c r="Q305" s="182">
        <f>(P305*$E305*$F305*$G305*$L305*$Q$12)</f>
        <v>1809249.8424000002</v>
      </c>
      <c r="R305" s="182">
        <v>410</v>
      </c>
      <c r="S305" s="182">
        <f>(R305*$E305*$F305*$G305*$L305*$S$12)</f>
        <v>12789524.748000002</v>
      </c>
      <c r="T305" s="182"/>
      <c r="U305" s="182">
        <f t="shared" si="1197"/>
        <v>0</v>
      </c>
      <c r="V305" s="182"/>
      <c r="W305" s="183">
        <f t="shared" si="1198"/>
        <v>0</v>
      </c>
      <c r="X305" s="183"/>
      <c r="Y305" s="183">
        <v>0</v>
      </c>
      <c r="Z305" s="183"/>
      <c r="AA305" s="183">
        <v>0</v>
      </c>
      <c r="AB305" s="182">
        <f t="shared" si="1144"/>
        <v>0</v>
      </c>
      <c r="AC305" s="182">
        <f t="shared" si="1144"/>
        <v>0</v>
      </c>
      <c r="AD305" s="182"/>
      <c r="AE305" s="182">
        <f>(AD305*$E305*$F305*$G305*$L305*$AE$12)</f>
        <v>0</v>
      </c>
      <c r="AF305" s="182"/>
      <c r="AG305" s="182"/>
      <c r="AH305" s="182">
        <v>5</v>
      </c>
      <c r="AI305" s="182">
        <f>(AH305*$E305*$F305*$G305*$L305*$AI$12)</f>
        <v>155969.81400000001</v>
      </c>
      <c r="AJ305" s="182"/>
      <c r="AK305" s="182"/>
      <c r="AL305" s="182"/>
      <c r="AM305" s="182"/>
      <c r="AN305" s="184"/>
      <c r="AO305" s="182">
        <f>(AN305*$E305*$F305*$G305*$L305*$AO$12)</f>
        <v>0</v>
      </c>
      <c r="AP305" s="182">
        <v>57</v>
      </c>
      <c r="AQ305" s="183">
        <f>(AP305*$E305*$F305*$G305*$L305*$AQ$12)</f>
        <v>1778055.8796000001</v>
      </c>
      <c r="AR305" s="182">
        <v>23</v>
      </c>
      <c r="AS305" s="182">
        <f>(AR305*$E305*$F305*$G305*$L305*$AS$12)/12*10+(AR305*$E305*$F305*$G305*$L305*$AS$13)/12*1+(AR305*$E305*$F305*$L305*$G305*$AS$14*$AS$15)/12*1</f>
        <v>774521.04662659997</v>
      </c>
      <c r="AT305" s="182">
        <f>60-3</f>
        <v>57</v>
      </c>
      <c r="AU305" s="182">
        <f t="shared" si="1200"/>
        <v>2235306.2254070183</v>
      </c>
      <c r="AV305" s="188">
        <v>1</v>
      </c>
      <c r="AW305" s="182">
        <v>35731.269999999997</v>
      </c>
      <c r="AX305" s="182">
        <v>1</v>
      </c>
      <c r="AY305" s="187">
        <f>(AX305*$E305*$F305*$G305*$M305*$AY$12)</f>
        <v>37432.755360000003</v>
      </c>
      <c r="AZ305" s="182"/>
      <c r="BA305" s="182">
        <f>(AZ305*$E305*$F305*$G305*$L305*$BA$12)</f>
        <v>0</v>
      </c>
      <c r="BB305" s="182">
        <v>0</v>
      </c>
      <c r="BC305" s="182">
        <f>(BB305*$E305*$F305*$G305*$L305*$BC$12)</f>
        <v>0</v>
      </c>
      <c r="BD305" s="182"/>
      <c r="BE305" s="182">
        <f>(BD305*$E305*$F305*$G305*$L305*$BE$12)</f>
        <v>0</v>
      </c>
      <c r="BF305" s="182"/>
      <c r="BG305" s="182">
        <f>(BF305*$E305*$F305*$G305*$L305*$BG$12)</f>
        <v>0</v>
      </c>
      <c r="BH305" s="182"/>
      <c r="BI305" s="183">
        <f>(BH305*$E305*$F305*$G305*$L305*$BI$12)</f>
        <v>0</v>
      </c>
      <c r="BJ305" s="182"/>
      <c r="BK305" s="183">
        <f>(BJ305*$E305*$F305*$G305*$L305*$BK$12)</f>
        <v>0</v>
      </c>
      <c r="BL305" s="182">
        <v>7</v>
      </c>
      <c r="BM305" s="182">
        <f t="shared" ref="BM305" si="1202">(BL305/12*11*$E305*$F305*$G305*$L305*$BM$12)+(BL305/12*$E305*$F305*$G305*$L305*$BM$12*$BM$15)</f>
        <v>277091.60439760803</v>
      </c>
      <c r="BN305" s="182">
        <v>64</v>
      </c>
      <c r="BO305" s="182">
        <f>(BN305*$E305*$F305*$G305*$M305*$BO$12)</f>
        <v>2395696.3430400002</v>
      </c>
      <c r="BP305" s="182"/>
      <c r="BQ305" s="182">
        <f>(BP305*$E305*$F305*$G305*$M305*$BQ$12)</f>
        <v>0</v>
      </c>
      <c r="BR305" s="182"/>
      <c r="BS305" s="183">
        <f>(BR305*$E305*$F305*$G305*$M305*$BS$12)</f>
        <v>0</v>
      </c>
      <c r="BT305" s="182"/>
      <c r="BU305" s="182">
        <f>(BT305*$E305*$F305*$G305*$M305*$BU$12)</f>
        <v>0</v>
      </c>
      <c r="BV305" s="182">
        <v>2</v>
      </c>
      <c r="BW305" s="182">
        <f>(BV305*$E305*$F305*$G305*$M305*$BW$12)</f>
        <v>61253.599680000007</v>
      </c>
      <c r="BX305" s="182">
        <v>8</v>
      </c>
      <c r="BY305" s="183">
        <f t="shared" ref="BY305" si="1203">(BX305*$E305*$F305*$G305*$M305*$BY$12)/12*11+(BX305*$E305*$F305*$G305*$M305*$BY$12*$BY$15)/12</f>
        <v>367162.24362854398</v>
      </c>
      <c r="BZ305" s="182">
        <v>14</v>
      </c>
      <c r="CA305" s="187">
        <f t="shared" ref="CA305" si="1204">(BZ305*$E305*$F305*$G305*$M305*$CA$12)/12*11+(BZ305*$E305*$F305*$G305*$M305*$CA$12*$CA$15)/12</f>
        <v>622641.13925831998</v>
      </c>
      <c r="CB305" s="182"/>
      <c r="CC305" s="182">
        <f>(CB305*$E305*$F305*$G305*$L305*$CC$12)</f>
        <v>0</v>
      </c>
      <c r="CD305" s="182"/>
      <c r="CE305" s="182">
        <f>(CD305*$E305*$F305*$G305*$L305*$CE$12)</f>
        <v>0</v>
      </c>
      <c r="CF305" s="182"/>
      <c r="CG305" s="182">
        <f>(CF305*$E305*$F305*$G305*$L305*$CG$12)</f>
        <v>0</v>
      </c>
      <c r="CH305" s="182">
        <v>47</v>
      </c>
      <c r="CI305" s="182">
        <f t="shared" ref="CI305" si="1205">(CH305*$E305*$F305*$G305*$M305*$CI$12)/12*11+(CH305*$E305*$F305*$G305*$M305*$CI$12*$CI$15)/12</f>
        <v>1782426.8343838318</v>
      </c>
      <c r="CJ305" s="182"/>
      <c r="CK305" s="182"/>
      <c r="CL305" s="182"/>
      <c r="CM305" s="183">
        <f>(CL305*$E305*$F305*$G305*$L305*$CM$12)</f>
        <v>0</v>
      </c>
      <c r="CN305" s="182"/>
      <c r="CO305" s="183">
        <f>(CN305*$E305*$F305*$G305*$L305*$CO$12)</f>
        <v>0</v>
      </c>
      <c r="CP305" s="182"/>
      <c r="CQ305" s="182">
        <f>(CP305*$E305*$F305*$G305*$L305*$CQ$12)</f>
        <v>0</v>
      </c>
      <c r="CR305" s="182">
        <v>30</v>
      </c>
      <c r="CS305" s="182">
        <f t="shared" ref="CS305" si="1206">(CR305*$E305*$F305*$G305*$L305*$CS$12)/12*10+(CR305*$E305*$F305*$G305*$L305*$CS$13)/12+(CR305*$E305*$F305*$G305*$L305*$CS$13*$CS$15)/12</f>
        <v>1019930.5688753999</v>
      </c>
      <c r="CT305" s="182">
        <v>35</v>
      </c>
      <c r="CU305" s="182">
        <f t="shared" ref="CU305" si="1207">(CT305*$E305*$F305*$G305*$L305*$CU$12)/12*11+(CT305*$E305*$F305*$G305*$L305*$CU$12*$CU$15)/12</f>
        <v>1041953.5066122001</v>
      </c>
      <c r="CV305" s="182">
        <v>35</v>
      </c>
      <c r="CW305" s="182">
        <v>1097460.4400000004</v>
      </c>
      <c r="CX305" s="182">
        <v>50</v>
      </c>
      <c r="CY305" s="182">
        <f t="shared" ref="CY305" si="1208">(CX305/12*11*$E305*$F305*$G305*$M305*$CY$12)+(CX305/12*$E305*$F305*$G305*$M305*$CY$15*$CY$12)</f>
        <v>1836229.7844072001</v>
      </c>
      <c r="CZ305" s="182"/>
      <c r="DA305" s="182">
        <v>0</v>
      </c>
      <c r="DB305" s="188">
        <v>480</v>
      </c>
      <c r="DC305" s="182">
        <f>(DB305*$E305*$F305*$G305*$M305*$DC$12)</f>
        <v>14700863.9232</v>
      </c>
      <c r="DD305" s="182"/>
      <c r="DE305" s="187">
        <f t="shared" si="1201"/>
        <v>0</v>
      </c>
      <c r="DF305" s="182"/>
      <c r="DG305" s="182">
        <f>(DF305*$E305*$F305*$G305*$M305*$DG$12)</f>
        <v>0</v>
      </c>
      <c r="DH305" s="189">
        <f>ROUND(3*0.75,0)</f>
        <v>2</v>
      </c>
      <c r="DI305" s="182">
        <f>(DH305*$E305*$F305*$G305*$M305*$DI$12)</f>
        <v>68059.555200000003</v>
      </c>
      <c r="DJ305" s="182">
        <v>17</v>
      </c>
      <c r="DK305" s="182">
        <f>(DJ305/12*11*$E305*$F305*$G305*$M305*$DK$12)+(DJ305/12*1*$E305*$F305*$M305*$G305*$DK$12*$DK$15)</f>
        <v>630393.40617708012</v>
      </c>
      <c r="DL305" s="182"/>
      <c r="DM305" s="182">
        <f>(DL305*$E305*$F305*$G305*$N305*$DM$12)</f>
        <v>0</v>
      </c>
      <c r="DN305" s="182">
        <f>ROUND(10*0.75,0)</f>
        <v>8</v>
      </c>
      <c r="DO305" s="190">
        <f>(DN305*$E305*$F305*$G305*$O305*$DO$12)</f>
        <v>416459.65919999999</v>
      </c>
      <c r="DP305" s="187"/>
      <c r="DQ305" s="182">
        <f t="shared" ref="DQ305" si="1209">(DP305*$E305*$F305*$G305*$L305*DQ$12)</f>
        <v>0</v>
      </c>
      <c r="DR305" s="183">
        <f t="shared" si="1146"/>
        <v>1411</v>
      </c>
      <c r="DS305" s="183">
        <f t="shared" si="1146"/>
        <v>45933414.189453803</v>
      </c>
      <c r="DT305" s="182">
        <v>1430</v>
      </c>
      <c r="DU305" s="182">
        <v>45748329.993419997</v>
      </c>
      <c r="DV305" s="167">
        <f t="shared" si="1035"/>
        <v>-19</v>
      </c>
      <c r="DW305" s="167">
        <f t="shared" si="1035"/>
        <v>185084.19603380561</v>
      </c>
    </row>
    <row r="306" spans="1:127" ht="15.75" customHeight="1" x14ac:dyDescent="0.25">
      <c r="A306" s="154"/>
      <c r="B306" s="176">
        <v>264</v>
      </c>
      <c r="C306" s="177" t="s">
        <v>689</v>
      </c>
      <c r="D306" s="210" t="s">
        <v>690</v>
      </c>
      <c r="E306" s="158">
        <v>25969</v>
      </c>
      <c r="F306" s="179">
        <v>1.54</v>
      </c>
      <c r="G306" s="168">
        <v>1</v>
      </c>
      <c r="H306" s="169"/>
      <c r="I306" s="169"/>
      <c r="J306" s="169"/>
      <c r="K306" s="106"/>
      <c r="L306" s="180">
        <v>1.4</v>
      </c>
      <c r="M306" s="180">
        <v>1.68</v>
      </c>
      <c r="N306" s="180">
        <v>2.23</v>
      </c>
      <c r="O306" s="181">
        <v>2.57</v>
      </c>
      <c r="P306" s="182">
        <v>7</v>
      </c>
      <c r="Q306" s="182">
        <f>(P306*$E306*$F306*$G306*$L306*$Q$12)</f>
        <v>431116.56280000001</v>
      </c>
      <c r="R306" s="182">
        <v>46</v>
      </c>
      <c r="S306" s="182">
        <f>(R306*$E306*$F306*$G306*$L306*$S$12)</f>
        <v>2833051.6984000001</v>
      </c>
      <c r="T306" s="182"/>
      <c r="U306" s="182">
        <f t="shared" si="1197"/>
        <v>0</v>
      </c>
      <c r="V306" s="182"/>
      <c r="W306" s="183">
        <f t="shared" si="1198"/>
        <v>0</v>
      </c>
      <c r="X306" s="183"/>
      <c r="Y306" s="183">
        <v>0</v>
      </c>
      <c r="Z306" s="183"/>
      <c r="AA306" s="183">
        <v>0</v>
      </c>
      <c r="AB306" s="182">
        <f t="shared" si="1144"/>
        <v>0</v>
      </c>
      <c r="AC306" s="182">
        <f t="shared" si="1144"/>
        <v>0</v>
      </c>
      <c r="AD306" s="182"/>
      <c r="AE306" s="182">
        <f>(AD306*$E306*$F306*$G306*$L306*$AE$12)</f>
        <v>0</v>
      </c>
      <c r="AF306" s="182"/>
      <c r="AG306" s="182"/>
      <c r="AH306" s="182"/>
      <c r="AI306" s="182">
        <f>(AH306*$E306*$F306*$G306*$L306*$AI$12)</f>
        <v>0</v>
      </c>
      <c r="AJ306" s="182"/>
      <c r="AK306" s="182"/>
      <c r="AL306" s="182"/>
      <c r="AM306" s="182"/>
      <c r="AN306" s="184"/>
      <c r="AO306" s="182">
        <f>(AN306*$E306*$F306*$G306*$L306*$AO$12)</f>
        <v>0</v>
      </c>
      <c r="AP306" s="182"/>
      <c r="AQ306" s="183">
        <f>(AP306*$E306*$F306*$G306*$L306*$AQ$12)</f>
        <v>0</v>
      </c>
      <c r="AR306" s="182"/>
      <c r="AS306" s="182">
        <f t="shared" si="1199"/>
        <v>0</v>
      </c>
      <c r="AT306" s="182">
        <v>5</v>
      </c>
      <c r="AU306" s="182">
        <f t="shared" si="1200"/>
        <v>387131.30759410799</v>
      </c>
      <c r="AV306" s="188"/>
      <c r="AW306" s="182">
        <f>(AV306*$E306*$F306*$G306*$M306*$AW$12)</f>
        <v>0</v>
      </c>
      <c r="AX306" s="182"/>
      <c r="AY306" s="187">
        <f>(AX306*$E306*$F306*$G306*$M306*$AY$12)</f>
        <v>0</v>
      </c>
      <c r="AZ306" s="209"/>
      <c r="BA306" s="182">
        <f>(AZ306*$E306*$F306*$G306*$L306*$BA$12)</f>
        <v>0</v>
      </c>
      <c r="BB306" s="182">
        <v>0</v>
      </c>
      <c r="BC306" s="182">
        <f>(BB306*$E306*$F306*$G306*$L306*$BC$12)</f>
        <v>0</v>
      </c>
      <c r="BD306" s="182"/>
      <c r="BE306" s="182">
        <f>(BD306*$E306*$F306*$G306*$L306*$BE$12)</f>
        <v>0</v>
      </c>
      <c r="BF306" s="182"/>
      <c r="BG306" s="182">
        <f>(BF306*$E306*$F306*$G306*$L306*$BG$12)</f>
        <v>0</v>
      </c>
      <c r="BH306" s="182"/>
      <c r="BI306" s="183">
        <f>(BH306*$E306*$F306*$G306*$L306*$BI$12)</f>
        <v>0</v>
      </c>
      <c r="BJ306" s="182"/>
      <c r="BK306" s="183">
        <f>(BJ306*$E306*$F306*$G306*$L306*$BK$12)</f>
        <v>0</v>
      </c>
      <c r="BL306" s="182"/>
      <c r="BM306" s="182">
        <f>(BL306*$E306*$F306*$G306*$L306*$BM$12)</f>
        <v>0</v>
      </c>
      <c r="BN306" s="182">
        <v>1</v>
      </c>
      <c r="BO306" s="182">
        <f>(BN306*$E306*$F306*$G306*$M306*$BO$12)</f>
        <v>73905.696480000013</v>
      </c>
      <c r="BP306" s="182"/>
      <c r="BQ306" s="182">
        <f>(BP306*$E306*$F306*$G306*$M306*$BQ$12)</f>
        <v>0</v>
      </c>
      <c r="BR306" s="182"/>
      <c r="BS306" s="183">
        <f>(BR306*$E306*$F306*$G306*$M306*$BS$12)</f>
        <v>0</v>
      </c>
      <c r="BT306" s="182"/>
      <c r="BU306" s="182">
        <f>(BT306*$E306*$F306*$G306*$M306*$BU$12)</f>
        <v>0</v>
      </c>
      <c r="BV306" s="182"/>
      <c r="BW306" s="182">
        <f>(BV306*$E306*$F306*$G306*$M306*$BW$12)</f>
        <v>0</v>
      </c>
      <c r="BX306" s="182"/>
      <c r="BY306" s="183">
        <f>(BX306*$E306*$F306*$G306*$M306*$BY$12)</f>
        <v>0</v>
      </c>
      <c r="BZ306" s="182"/>
      <c r="CA306" s="187">
        <f>(BZ306*$E306*$F306*$G306*$M306*$CA$12)</f>
        <v>0</v>
      </c>
      <c r="CB306" s="182"/>
      <c r="CC306" s="182">
        <f>(CB306*$E306*$F306*$G306*$L306*$CC$12)</f>
        <v>0</v>
      </c>
      <c r="CD306" s="182"/>
      <c r="CE306" s="182">
        <f>(CD306*$E306*$F306*$G306*$L306*$CE$12)</f>
        <v>0</v>
      </c>
      <c r="CF306" s="182"/>
      <c r="CG306" s="182">
        <f>(CF306*$E306*$F306*$G306*$L306*$CG$12)</f>
        <v>0</v>
      </c>
      <c r="CH306" s="182"/>
      <c r="CI306" s="182">
        <f>(CH306*$E306*$F306*$G306*$M306*$CI$12)</f>
        <v>0</v>
      </c>
      <c r="CJ306" s="182"/>
      <c r="CK306" s="182"/>
      <c r="CL306" s="182"/>
      <c r="CM306" s="183">
        <f>(CL306*$E306*$F306*$G306*$L306*$CM$12)</f>
        <v>0</v>
      </c>
      <c r="CN306" s="182"/>
      <c r="CO306" s="183">
        <f>(CN306*$E306*$F306*$G306*$L306*$CO$12)</f>
        <v>0</v>
      </c>
      <c r="CP306" s="182"/>
      <c r="CQ306" s="182">
        <f>(CP306*$E306*$F306*$G306*$L306*$CQ$12)</f>
        <v>0</v>
      </c>
      <c r="CR306" s="182"/>
      <c r="CS306" s="182">
        <f>(CR306*$E306*$F306*$G306*$L306*$CS$12)</f>
        <v>0</v>
      </c>
      <c r="CT306" s="182"/>
      <c r="CU306" s="182">
        <f>(CT306*$E306*$F306*$G306*$L306*$CU$12)</f>
        <v>0</v>
      </c>
      <c r="CV306" s="182"/>
      <c r="CW306" s="182">
        <v>0</v>
      </c>
      <c r="CX306" s="182"/>
      <c r="CY306" s="182">
        <f>(CX306*$E306*$F306*$G306*$M306*$CY$12)</f>
        <v>0</v>
      </c>
      <c r="CZ306" s="182"/>
      <c r="DA306" s="182">
        <v>0</v>
      </c>
      <c r="DB306" s="188"/>
      <c r="DC306" s="182">
        <f>(DB306*$E306*$F306*$G306*$M306*$DC$12)</f>
        <v>0</v>
      </c>
      <c r="DD306" s="182"/>
      <c r="DE306" s="187">
        <f t="shared" si="1201"/>
        <v>0</v>
      </c>
      <c r="DF306" s="182"/>
      <c r="DG306" s="182">
        <f>(DF306*$E306*$F306*$G306*$M306*$DG$12)</f>
        <v>0</v>
      </c>
      <c r="DH306" s="189"/>
      <c r="DI306" s="182">
        <f>(DH306*$E306*$F306*$G306*$M306*$DI$12)</f>
        <v>0</v>
      </c>
      <c r="DJ306" s="182"/>
      <c r="DK306" s="182">
        <f>(DJ306*$E306*$F306*$G306*$M306*$DK$12)</f>
        <v>0</v>
      </c>
      <c r="DL306" s="182"/>
      <c r="DM306" s="182">
        <f>(DL306*$E306*$F306*$G306*$N306*$DM$12)</f>
        <v>0</v>
      </c>
      <c r="DN306" s="182">
        <f>ROUND(20*0.75,0)</f>
        <v>15</v>
      </c>
      <c r="DO306" s="190">
        <f>(DN306*$E306*$F306*$G306*$O306*$DO$12)</f>
        <v>1541701.6229999999</v>
      </c>
      <c r="DP306" s="187">
        <v>1</v>
      </c>
      <c r="DQ306" s="182">
        <f>(DP306*$E306*$F306*$G306*$L306*DQ$12)</f>
        <v>61588.080399999999</v>
      </c>
      <c r="DR306" s="183">
        <f t="shared" si="1146"/>
        <v>75</v>
      </c>
      <c r="DS306" s="183">
        <f t="shared" si="1146"/>
        <v>5328494.9686741084</v>
      </c>
      <c r="DT306" s="182">
        <v>84</v>
      </c>
      <c r="DU306" s="182">
        <v>5873583.24168</v>
      </c>
      <c r="DV306" s="167">
        <f t="shared" si="1035"/>
        <v>-9</v>
      </c>
      <c r="DW306" s="167">
        <f t="shared" si="1035"/>
        <v>-545088.27300589159</v>
      </c>
    </row>
    <row r="307" spans="1:127" s="6" customFormat="1" ht="30" customHeight="1" x14ac:dyDescent="0.25">
      <c r="A307" s="154"/>
      <c r="B307" s="264">
        <v>265</v>
      </c>
      <c r="C307" s="177" t="s">
        <v>691</v>
      </c>
      <c r="D307" s="226" t="s">
        <v>692</v>
      </c>
      <c r="E307" s="265">
        <v>25969</v>
      </c>
      <c r="F307" s="179">
        <v>0.75</v>
      </c>
      <c r="G307" s="168">
        <v>1</v>
      </c>
      <c r="H307" s="168"/>
      <c r="I307" s="168"/>
      <c r="J307" s="168"/>
      <c r="K307" s="106"/>
      <c r="L307" s="227">
        <v>1.4</v>
      </c>
      <c r="M307" s="227">
        <v>1.68</v>
      </c>
      <c r="N307" s="227">
        <v>2.23</v>
      </c>
      <c r="O307" s="227">
        <v>2.57</v>
      </c>
      <c r="P307" s="182">
        <v>10</v>
      </c>
      <c r="Q307" s="182">
        <f>(P307*$E307*$F307*$G307*$L307)</f>
        <v>272674.5</v>
      </c>
      <c r="R307" s="182"/>
      <c r="S307" s="182">
        <f>(R307*$E307*$F307*$G307*$L307)</f>
        <v>0</v>
      </c>
      <c r="T307" s="182">
        <f>140+59</f>
        <v>199</v>
      </c>
      <c r="U307" s="182">
        <f>(T307*$E307*$F307*$G307*$L307)</f>
        <v>5426222.5499999998</v>
      </c>
      <c r="V307" s="182"/>
      <c r="W307" s="182">
        <f>(V307*$E307*$F307*$G307*$L307)</f>
        <v>0</v>
      </c>
      <c r="X307" s="182"/>
      <c r="Y307" s="182">
        <v>0</v>
      </c>
      <c r="Z307" s="182"/>
      <c r="AA307" s="182">
        <v>0</v>
      </c>
      <c r="AB307" s="182">
        <f>X307+Z307</f>
        <v>0</v>
      </c>
      <c r="AC307" s="182">
        <f>Y307+AA307</f>
        <v>0</v>
      </c>
      <c r="AD307" s="182"/>
      <c r="AE307" s="182">
        <f>(AD307*$E307*$F307*$G307*$L307)</f>
        <v>0</v>
      </c>
      <c r="AF307" s="182"/>
      <c r="AG307" s="182"/>
      <c r="AH307" s="182">
        <v>20</v>
      </c>
      <c r="AI307" s="182">
        <f>(AH307*$E307*$F307*$G307*$L307)</f>
        <v>545349</v>
      </c>
      <c r="AJ307" s="182"/>
      <c r="AK307" s="182"/>
      <c r="AL307" s="182"/>
      <c r="AM307" s="182"/>
      <c r="AN307" s="228"/>
      <c r="AO307" s="182">
        <f>(AN307*$E307*$F307*$G307*$L307)</f>
        <v>0</v>
      </c>
      <c r="AP307" s="182">
        <v>110</v>
      </c>
      <c r="AQ307" s="182">
        <f>(AP307*$E307*$F307*$G307*$L307)</f>
        <v>2999419.5</v>
      </c>
      <c r="AR307" s="182">
        <v>66</v>
      </c>
      <c r="AS307" s="182">
        <f>(AR307*$E307*$F307*$G307*$L307)</f>
        <v>1799651.7</v>
      </c>
      <c r="AT307" s="182">
        <v>26</v>
      </c>
      <c r="AU307" s="183">
        <f>(AT307*$E307*$F307*$G307*$M307)</f>
        <v>850744.44</v>
      </c>
      <c r="AV307" s="188"/>
      <c r="AW307" s="182">
        <f>(AV307*$E307*$F307*$G307*$M307)</f>
        <v>0</v>
      </c>
      <c r="AX307" s="182">
        <v>107</v>
      </c>
      <c r="AY307" s="182">
        <f>(AX307*$E307*$F307*$G307*$M307)</f>
        <v>3501140.58</v>
      </c>
      <c r="AZ307" s="182"/>
      <c r="BA307" s="182">
        <f>(AZ307*$E307*$F307*$G307*$L307*$AO$12)</f>
        <v>0</v>
      </c>
      <c r="BB307" s="182"/>
      <c r="BC307" s="182">
        <f>(BB307*$E307*$F307*$G307*$L307*BC$12)</f>
        <v>0</v>
      </c>
      <c r="BD307" s="182"/>
      <c r="BE307" s="182">
        <f>(BD307*$E307*$F307*$G307*$L307*BE$12)</f>
        <v>0</v>
      </c>
      <c r="BF307" s="182"/>
      <c r="BG307" s="182">
        <f>(BF307*$E307*$F307*$G307*$L307)</f>
        <v>0</v>
      </c>
      <c r="BH307" s="182"/>
      <c r="BI307" s="182">
        <f t="shared" ref="BI307" si="1210">(BH307*$E307*$F307*$G307*$L307)</f>
        <v>0</v>
      </c>
      <c r="BJ307" s="182"/>
      <c r="BK307" s="182"/>
      <c r="BL307" s="182">
        <v>145</v>
      </c>
      <c r="BM307" s="182">
        <f>(BL307*$E307*$F307*$G307*$L307)</f>
        <v>3953780.2499999995</v>
      </c>
      <c r="BN307" s="182">
        <v>549</v>
      </c>
      <c r="BO307" s="182">
        <f>(BN307*$E307*$F307*$G307*$M307)</f>
        <v>17963796.059999999</v>
      </c>
      <c r="BP307" s="182">
        <v>460</v>
      </c>
      <c r="BQ307" s="182">
        <f>(BP307*$E307*$F307*$G307*$M307)</f>
        <v>15051632.4</v>
      </c>
      <c r="BR307" s="182"/>
      <c r="BS307" s="182">
        <f>(BR307*$E307*$F307*$G307*$M307)</f>
        <v>0</v>
      </c>
      <c r="BT307" s="182"/>
      <c r="BU307" s="182">
        <f>(BT307*$E307*$F307*$G307*$M307)</f>
        <v>0</v>
      </c>
      <c r="BV307" s="182">
        <v>293</v>
      </c>
      <c r="BW307" s="182">
        <f>(BV307*$E307*$F307*$G307*$M307)</f>
        <v>9587235.4199999999</v>
      </c>
      <c r="BX307" s="182">
        <v>112</v>
      </c>
      <c r="BY307" s="182">
        <f>(BX307*$E307*$F307*$G307*$M307)</f>
        <v>3664745.28</v>
      </c>
      <c r="BZ307" s="182">
        <v>208</v>
      </c>
      <c r="CA307" s="182">
        <f>(BZ307*$E307*$F307*$G307*$M307)</f>
        <v>6805955.5199999996</v>
      </c>
      <c r="CB307" s="182">
        <v>470</v>
      </c>
      <c r="CC307" s="182">
        <f>(CB307*$E307*$F307*$G307*$L307)</f>
        <v>12815701.5</v>
      </c>
      <c r="CD307" s="182">
        <v>726</v>
      </c>
      <c r="CE307" s="183">
        <f>(CD307*$E307*$F307*$G307*$L307)</f>
        <v>19796168.699999999</v>
      </c>
      <c r="CF307" s="182"/>
      <c r="CG307" s="182">
        <f>(CF307*$E307*$F307*$G307*$L307)</f>
        <v>0</v>
      </c>
      <c r="CH307" s="182">
        <v>200</v>
      </c>
      <c r="CI307" s="182">
        <f>(CH307*$E307*$F307*$G307*$M307)</f>
        <v>6544188</v>
      </c>
      <c r="CJ307" s="182"/>
      <c r="CK307" s="182"/>
      <c r="CL307" s="182">
        <v>13</v>
      </c>
      <c r="CM307" s="182">
        <f>(CL307*$E307*$F307*$G307*$L307)</f>
        <v>354476.85</v>
      </c>
      <c r="CN307" s="182">
        <v>5</v>
      </c>
      <c r="CO307" s="182">
        <f>(CN307*$E307*$F307*$G307*$L307)</f>
        <v>136337.25</v>
      </c>
      <c r="CP307" s="182">
        <v>60</v>
      </c>
      <c r="CQ307" s="182">
        <f>(CP307*$E307*$F307*$G307*$L307)</f>
        <v>1636047</v>
      </c>
      <c r="CR307" s="182">
        <v>334</v>
      </c>
      <c r="CS307" s="182">
        <f>(CR307*$E307*$F307*$G307*$L307)</f>
        <v>9107328.2999999989</v>
      </c>
      <c r="CT307" s="182">
        <v>174</v>
      </c>
      <c r="CU307" s="182">
        <f>(CT307*$E307*$F307*$G307*$L307)</f>
        <v>4744536.3</v>
      </c>
      <c r="CV307" s="182">
        <v>176</v>
      </c>
      <c r="CW307" s="182">
        <v>6577999.2399999974</v>
      </c>
      <c r="CX307" s="182"/>
      <c r="CY307" s="182">
        <f>(CX307*$E307*$F307*$G307*$M307)</f>
        <v>0</v>
      </c>
      <c r="CZ307" s="182">
        <v>10</v>
      </c>
      <c r="DA307" s="182">
        <v>302668.7</v>
      </c>
      <c r="DB307" s="188">
        <v>40</v>
      </c>
      <c r="DC307" s="182">
        <f>(DB307*$E307*$F307*$G307*$M307)</f>
        <v>1308837.5999999999</v>
      </c>
      <c r="DD307" s="182"/>
      <c r="DE307" s="182">
        <f>(DD307*$E307*$F307*$G307*$M307)</f>
        <v>0</v>
      </c>
      <c r="DF307" s="182"/>
      <c r="DG307" s="182"/>
      <c r="DH307" s="189">
        <f>ROUND(2*0.75,0)</f>
        <v>2</v>
      </c>
      <c r="DI307" s="182">
        <f>(DH307*$E307*$F307*$G307*$M307)</f>
        <v>65441.88</v>
      </c>
      <c r="DJ307" s="182">
        <v>125</v>
      </c>
      <c r="DK307" s="182">
        <f>(DJ307*$E307*$F307*$G307*$M307)</f>
        <v>4090117.5</v>
      </c>
      <c r="DL307" s="182">
        <f>ROUND(50*0.75,0)</f>
        <v>38</v>
      </c>
      <c r="DM307" s="182">
        <f>(DL307*$E307*$F307*$G307*$N307)</f>
        <v>1650459.7949999999</v>
      </c>
      <c r="DN307" s="182">
        <f>ROUND(65*0.75,0)</f>
        <v>49</v>
      </c>
      <c r="DO307" s="182">
        <f>(DN307*$E307*$F307*$G307*$O307)</f>
        <v>2452707.1274999999</v>
      </c>
      <c r="DP307" s="182"/>
      <c r="DQ307" s="182"/>
      <c r="DR307" s="183">
        <f t="shared" si="1146"/>
        <v>4727</v>
      </c>
      <c r="DS307" s="183">
        <f t="shared" si="1146"/>
        <v>144005362.94249997</v>
      </c>
      <c r="DT307" s="182">
        <v>5031</v>
      </c>
      <c r="DU307" s="182">
        <v>153952528.70249996</v>
      </c>
      <c r="DV307" s="167">
        <f t="shared" si="1035"/>
        <v>-304</v>
      </c>
      <c r="DW307" s="167">
        <f t="shared" si="1035"/>
        <v>-9947165.7599999905</v>
      </c>
    </row>
    <row r="308" spans="1:127" s="266" customFormat="1" ht="31.5" customHeight="1" x14ac:dyDescent="0.25">
      <c r="A308" s="154"/>
      <c r="B308" s="264">
        <v>266</v>
      </c>
      <c r="C308" s="177" t="s">
        <v>693</v>
      </c>
      <c r="D308" s="226" t="s">
        <v>694</v>
      </c>
      <c r="E308" s="265">
        <v>25969</v>
      </c>
      <c r="F308" s="179">
        <v>0.89</v>
      </c>
      <c r="G308" s="168">
        <v>1</v>
      </c>
      <c r="H308" s="168"/>
      <c r="I308" s="168"/>
      <c r="J308" s="168"/>
      <c r="K308" s="106"/>
      <c r="L308" s="227">
        <v>1.4</v>
      </c>
      <c r="M308" s="227">
        <v>1.68</v>
      </c>
      <c r="N308" s="227">
        <v>2.23</v>
      </c>
      <c r="O308" s="227">
        <v>2.57</v>
      </c>
      <c r="P308" s="182">
        <v>170</v>
      </c>
      <c r="Q308" s="182">
        <f>(P308*$E308*$F308*$G308*$L308*$Q$12)</f>
        <v>6050828.938000001</v>
      </c>
      <c r="R308" s="182"/>
      <c r="S308" s="182">
        <f>(R308*$E308*$F308*$G308*$L308*$S$12)</f>
        <v>0</v>
      </c>
      <c r="T308" s="182">
        <v>2</v>
      </c>
      <c r="U308" s="182">
        <f t="shared" ref="U308:U311" si="1211">(T308/12*11*$E308*$F308*$G308*$L308*$U$12)+(T308/12*1*$E308*$F308*$G308*$L308*$U$14)</f>
        <v>81702.369349999979</v>
      </c>
      <c r="V308" s="182"/>
      <c r="W308" s="183">
        <f t="shared" ref="W308:W311" si="1212">(V308*$E308*$F308*$G308*$L308*$W$12)/12*10+(V308*$E308*$F308*$G308*$L308*$W$13)/12*1++(V308*$E308*$F308*$G308*$L308*$W$14)/12*1</f>
        <v>0</v>
      </c>
      <c r="X308" s="183"/>
      <c r="Y308" s="183">
        <v>0</v>
      </c>
      <c r="Z308" s="183"/>
      <c r="AA308" s="183">
        <v>0</v>
      </c>
      <c r="AB308" s="182">
        <f t="shared" ref="AB308:AC311" si="1213">X308+Z308</f>
        <v>0</v>
      </c>
      <c r="AC308" s="182">
        <f t="shared" si="1213"/>
        <v>0</v>
      </c>
      <c r="AD308" s="182"/>
      <c r="AE308" s="182">
        <f>(AD308*$E308*$F308*$G308*$L308*$AE$12)</f>
        <v>0</v>
      </c>
      <c r="AF308" s="182"/>
      <c r="AG308" s="182"/>
      <c r="AH308" s="182">
        <v>45</v>
      </c>
      <c r="AI308" s="182">
        <f>(AH308*$E308*$F308*$G308*$L308*$AI$12)</f>
        <v>1601690.0130000003</v>
      </c>
      <c r="AJ308" s="182"/>
      <c r="AK308" s="182"/>
      <c r="AL308" s="182"/>
      <c r="AM308" s="182"/>
      <c r="AN308" s="228"/>
      <c r="AO308" s="182">
        <f>(AN308*$E308*$F308*$G308*$L308*$AO$12)</f>
        <v>0</v>
      </c>
      <c r="AP308" s="182">
        <v>140</v>
      </c>
      <c r="AQ308" s="183">
        <f>(AP308*$E308*$F308*$G308*$L308*$AQ$12)</f>
        <v>4983035.5959999999</v>
      </c>
      <c r="AR308" s="182">
        <v>122</v>
      </c>
      <c r="AS308" s="182">
        <f t="shared" ref="AS308:AS311" si="1214">(AR308*$E308*$F308*$G308*$L308*$AS$12)/12*10+(AR308*$E308*$F308*$G308*$L308*$AS$13)/12*1+(AR308*$E308*$F308*$L308*$G308*$AS$14*$AS$15)/12*1</f>
        <v>4687708.7649228657</v>
      </c>
      <c r="AT308" s="182">
        <v>60</v>
      </c>
      <c r="AU308" s="182">
        <f t="shared" ref="AU308:AU309" si="1215">(AT308*$E308*$F308*$G308*$M308*$AU$12)/12*10+(AT308*$E308*$F308*$G308*$M308*$AU$13)/12+(AT308*$E308*$F308*$G308*$M308*$AU$14*$AU$15)/12</f>
        <v>2684780.7565617361</v>
      </c>
      <c r="AV308" s="188"/>
      <c r="AW308" s="182">
        <f>(AV308*$E308*$F308*$G308*$M308*$AW$12)</f>
        <v>0</v>
      </c>
      <c r="AX308" s="182">
        <v>25</v>
      </c>
      <c r="AY308" s="182">
        <f>(AX308*$E308*$F308*$G308*$M308*$AY$12)</f>
        <v>1067793.3419999999</v>
      </c>
      <c r="AZ308" s="182"/>
      <c r="BA308" s="182">
        <f>(AZ308*$E308*$F308*$G308*$L308*$BA$12)</f>
        <v>0</v>
      </c>
      <c r="BB308" s="182"/>
      <c r="BC308" s="182">
        <f>(BB308*$E308*$F308*$G308*$L308*$BC$12)</f>
        <v>0</v>
      </c>
      <c r="BD308" s="182"/>
      <c r="BE308" s="182">
        <f>(BD308*$E308*$F308*$G308*$L308*$BE$12)</f>
        <v>0</v>
      </c>
      <c r="BF308" s="182"/>
      <c r="BG308" s="182">
        <f>(BF308*$E308*$F308*$G308*$L308*$BG$12)</f>
        <v>0</v>
      </c>
      <c r="BH308" s="182"/>
      <c r="BI308" s="183">
        <f>(BH308*$E308*$F308*$G308*$L308*$BI$12)</f>
        <v>0</v>
      </c>
      <c r="BJ308" s="182"/>
      <c r="BK308" s="183">
        <f>(BJ308*$E308*$F308*$G308*$L308*$BK$12)</f>
        <v>0</v>
      </c>
      <c r="BL308" s="182">
        <v>28</v>
      </c>
      <c r="BM308" s="182">
        <f t="shared" ref="BM308" si="1216">(BL308/12*11*$E308*$F308*$G308*$L308*$BM$12)+(BL308/12*$E308*$F308*$G308*$L308*$BM$12*$BM$15)</f>
        <v>1264674.5021224162</v>
      </c>
      <c r="BN308" s="182">
        <v>168</v>
      </c>
      <c r="BO308" s="182">
        <f>(BN308*$E308*$F308*$G308*$M308*$BO$12)</f>
        <v>7175571.2582400003</v>
      </c>
      <c r="BP308" s="182"/>
      <c r="BQ308" s="182">
        <f>(BP308*$E308*$F308*$G308*$M308*$BQ$12)</f>
        <v>0</v>
      </c>
      <c r="BR308" s="182"/>
      <c r="BS308" s="183">
        <f>(BR308*$E308*$F308*$G308*$M308*$BS$12)</f>
        <v>0</v>
      </c>
      <c r="BT308" s="182">
        <v>24</v>
      </c>
      <c r="BU308" s="182">
        <f t="shared" ref="BU308:BU309" si="1217">(BT308*$E308*$F308*$G308*$M308*$BU$12)/12*10+(BT308*$E308*$F308*$G308*$M308*$BU$13)/12+(BT308*$E308*$F308*$G308*$M308*$BU$13*$BU$15)/12</f>
        <v>1038129.3440399616</v>
      </c>
      <c r="BV308" s="182">
        <v>54</v>
      </c>
      <c r="BW308" s="182">
        <f>(BV308*$E308*$F308*$G308*$M308*$BW$12)</f>
        <v>1887082.05168</v>
      </c>
      <c r="BX308" s="182">
        <v>35</v>
      </c>
      <c r="BY308" s="183">
        <f t="shared" ref="BY308:BY309" si="1218">(BX308*$E308*$F308*$G308*$M308*$BY$12)/12*11+(BX308*$E308*$F308*$G308*$M308*$BY$12*$BY$15)/12</f>
        <v>1832869.2129854399</v>
      </c>
      <c r="BZ308" s="182">
        <v>24</v>
      </c>
      <c r="CA308" s="187">
        <f t="shared" ref="CA308:CA309" si="1219">(BZ308*$E308*$F308*$G308*$M308*$CA$12)/12*11+(BZ308*$E308*$F308*$G308*$M308*$CA$12*$CA$15)/12</f>
        <v>1217913.4372305598</v>
      </c>
      <c r="CB308" s="182"/>
      <c r="CC308" s="182">
        <f>(CB308*$E308*$F308*$G308*$L308*$CC$12)</f>
        <v>0</v>
      </c>
      <c r="CD308" s="182">
        <v>7</v>
      </c>
      <c r="CE308" s="182">
        <f>(CD308*$E308*$F308*$G308*$L308*$CE$12)</f>
        <v>226501.61799999999</v>
      </c>
      <c r="CF308" s="182"/>
      <c r="CG308" s="182">
        <f>(CF308*$E308*$F308*$G308*$L308*$CG$12)</f>
        <v>0</v>
      </c>
      <c r="CH308" s="182">
        <v>50</v>
      </c>
      <c r="CI308" s="182">
        <f t="shared" ref="CI308:CI311" si="1220">(CH308*$E308*$F308*$G308*$M308*$CI$12)/12*11+(CH308*$E308*$F308*$G308*$M308*$CI$12*$CI$15)/12</f>
        <v>2163611.4056213996</v>
      </c>
      <c r="CJ308" s="182"/>
      <c r="CK308" s="182"/>
      <c r="CL308" s="182">
        <v>23</v>
      </c>
      <c r="CM308" s="183">
        <f>(CL308*$E308*$F308*$G308*$L308*$CM$12)</f>
        <v>595375.68160000013</v>
      </c>
      <c r="CN308" s="182">
        <v>15</v>
      </c>
      <c r="CO308" s="183">
        <f>(CN308*$E308*$F308*$G308*$L308*$CO$12)</f>
        <v>388288.48800000001</v>
      </c>
      <c r="CP308" s="182">
        <v>25</v>
      </c>
      <c r="CQ308" s="182">
        <f>(CP308*$E308*$F308*$G308*$L308*$CQ$12)/12*11+(CP308*$E308*$F308*$G308*$L308*$CQ$12*$CQ$15)/12</f>
        <v>896558.11879199999</v>
      </c>
      <c r="CR308" s="182">
        <v>58</v>
      </c>
      <c r="CS308" s="182">
        <f t="shared" ref="CS308:CS309" si="1221">(CR308*$E308*$F308*$G308*$L308*$CS$12)/12*10+(CR308*$E308*$F308*$G308*$L308*$CS$13)/12+(CR308*$E308*$F308*$G308*$L308*$CS$13*$CS$15)/12</f>
        <v>2249949.400228553</v>
      </c>
      <c r="CT308" s="182">
        <v>30</v>
      </c>
      <c r="CU308" s="182">
        <f t="shared" ref="CU308:CU309" si="1222">(CT308*$E308*$F308*$G308*$L308*$CU$12)/12*11+(CT308*$E308*$F308*$G308*$L308*$CU$12*$CU$15)/12</f>
        <v>1019053.4295438</v>
      </c>
      <c r="CV308" s="182">
        <v>71</v>
      </c>
      <c r="CW308" s="182">
        <v>2744581.3600000036</v>
      </c>
      <c r="CX308" s="182"/>
      <c r="CY308" s="182">
        <f>(CX308*$E308*$F308*$G308*$M308*$CY$12)</f>
        <v>0</v>
      </c>
      <c r="CZ308" s="182">
        <v>38</v>
      </c>
      <c r="DA308" s="182">
        <v>1426960.2500000002</v>
      </c>
      <c r="DB308" s="188">
        <v>100</v>
      </c>
      <c r="DC308" s="182">
        <f>(DB308*$E308*$F308*$G308*$M308*$DC$12)</f>
        <v>3494596.392</v>
      </c>
      <c r="DD308" s="182"/>
      <c r="DE308" s="182">
        <f t="shared" ref="DE308:DE311" si="1223">(DD308*$E308*$F308*$G308*$M308*DE$12)</f>
        <v>0</v>
      </c>
      <c r="DF308" s="182"/>
      <c r="DG308" s="182">
        <f>(DF308*$E308*$F308*$G308*$M308*$DG$12)</f>
        <v>0</v>
      </c>
      <c r="DH308" s="189">
        <f>ROUND(3*0.75,0)</f>
        <v>2</v>
      </c>
      <c r="DI308" s="182">
        <f>(DH308*$E308*$F308*$G308*$M308*$DI$12)</f>
        <v>77657.6976</v>
      </c>
      <c r="DJ308" s="182">
        <v>40</v>
      </c>
      <c r="DK308" s="182">
        <f t="shared" ref="DK308:DK309" si="1224">(DJ308/12*11*$E308*$F308*$G308*$M308*$DK$12)+(DJ308/12*1*$E308*$F308*$M308*$G308*$DK$12*$DK$15)</f>
        <v>1692458.9185448003</v>
      </c>
      <c r="DL308" s="182"/>
      <c r="DM308" s="182">
        <f>(DL308*$E308*$F308*$G308*$N308*$DM$12)</f>
        <v>0</v>
      </c>
      <c r="DN308" s="182">
        <f>ROUND(5*0.75,0)</f>
        <v>4</v>
      </c>
      <c r="DO308" s="183">
        <f>(DN308*$E308*$F308*$G308*$O308*$DO$12)</f>
        <v>237595.57479999997</v>
      </c>
      <c r="DP308" s="182"/>
      <c r="DQ308" s="182"/>
      <c r="DR308" s="183">
        <f t="shared" si="1146"/>
        <v>1360</v>
      </c>
      <c r="DS308" s="183">
        <f t="shared" si="1146"/>
        <v>52786967.920863524</v>
      </c>
      <c r="DT308" s="182">
        <v>1360</v>
      </c>
      <c r="DU308" s="182">
        <v>51179024.853966653</v>
      </c>
      <c r="DV308" s="167">
        <f t="shared" si="1035"/>
        <v>0</v>
      </c>
      <c r="DW308" s="167">
        <f t="shared" si="1035"/>
        <v>1607943.0668968707</v>
      </c>
    </row>
    <row r="309" spans="1:127" s="268" customFormat="1" ht="30" customHeight="1" x14ac:dyDescent="0.25">
      <c r="A309" s="154"/>
      <c r="B309" s="264">
        <v>267</v>
      </c>
      <c r="C309" s="177" t="s">
        <v>695</v>
      </c>
      <c r="D309" s="226" t="s">
        <v>696</v>
      </c>
      <c r="E309" s="265">
        <v>25969</v>
      </c>
      <c r="F309" s="179">
        <v>0.53</v>
      </c>
      <c r="G309" s="168">
        <v>1</v>
      </c>
      <c r="H309" s="168"/>
      <c r="I309" s="168"/>
      <c r="J309" s="168"/>
      <c r="K309" s="106"/>
      <c r="L309" s="227">
        <v>1.4</v>
      </c>
      <c r="M309" s="227">
        <v>1.68</v>
      </c>
      <c r="N309" s="227">
        <v>2.23</v>
      </c>
      <c r="O309" s="227">
        <v>2.57</v>
      </c>
      <c r="P309" s="182">
        <v>10</v>
      </c>
      <c r="Q309" s="182">
        <f>(P309*$E309*$F309*$G309*$L309*$Q$12)</f>
        <v>211958.97800000003</v>
      </c>
      <c r="R309" s="182">
        <v>18</v>
      </c>
      <c r="S309" s="182">
        <f>(R309*$E309*$F309*$G309*$L309*$S$12)</f>
        <v>381526.16039999999</v>
      </c>
      <c r="T309" s="182">
        <v>90</v>
      </c>
      <c r="U309" s="182">
        <f t="shared" si="1211"/>
        <v>2189439.89775</v>
      </c>
      <c r="V309" s="182"/>
      <c r="W309" s="183">
        <f t="shared" si="1212"/>
        <v>0</v>
      </c>
      <c r="X309" s="183"/>
      <c r="Y309" s="183">
        <v>0</v>
      </c>
      <c r="Z309" s="183"/>
      <c r="AA309" s="183">
        <v>0</v>
      </c>
      <c r="AB309" s="182">
        <f t="shared" si="1213"/>
        <v>0</v>
      </c>
      <c r="AC309" s="182">
        <f t="shared" si="1213"/>
        <v>0</v>
      </c>
      <c r="AD309" s="182"/>
      <c r="AE309" s="182">
        <f>(AD309*$E309*$F309*$G309*$L309*$AE$12)</f>
        <v>0</v>
      </c>
      <c r="AF309" s="182">
        <v>1</v>
      </c>
      <c r="AG309" s="183">
        <f>(AF309*$E309*$F309*$G309*$L309*$AG$12)</f>
        <v>21195.897800000002</v>
      </c>
      <c r="AH309" s="182"/>
      <c r="AI309" s="182">
        <f>(AH309*$E309*$F309*$G309*$L309*$AI$12)</f>
        <v>0</v>
      </c>
      <c r="AJ309" s="182"/>
      <c r="AK309" s="182"/>
      <c r="AL309" s="182"/>
      <c r="AM309" s="182"/>
      <c r="AN309" s="267"/>
      <c r="AO309" s="182">
        <f>(AN309*$E309*$F309*$G309*$L309*$AO$12)</f>
        <v>0</v>
      </c>
      <c r="AP309" s="182">
        <v>624</v>
      </c>
      <c r="AQ309" s="183">
        <f>(AP309*$E309*$F309*$G309*$L309*$AQ$12)</f>
        <v>13226240.2272</v>
      </c>
      <c r="AR309" s="182">
        <v>11</v>
      </c>
      <c r="AS309" s="182">
        <f t="shared" si="1214"/>
        <v>251697.75372536667</v>
      </c>
      <c r="AT309" s="182">
        <v>100</v>
      </c>
      <c r="AU309" s="182">
        <f t="shared" si="1215"/>
        <v>2664670.0392841203</v>
      </c>
      <c r="AV309" s="188"/>
      <c r="AW309" s="182">
        <f>(AV309*$E309*$F309*$G309*$M309*$AW$12)</f>
        <v>0</v>
      </c>
      <c r="AX309" s="182">
        <v>4</v>
      </c>
      <c r="AY309" s="182">
        <f>(AX309*$E309*$F309*$G309*$M309*$AY$12)</f>
        <v>101740.30944000001</v>
      </c>
      <c r="AZ309" s="182"/>
      <c r="BA309" s="182">
        <f>(AZ309*$E309*$F309*$G309*$L309*$BA$12)</f>
        <v>0</v>
      </c>
      <c r="BB309" s="182">
        <v>0</v>
      </c>
      <c r="BC309" s="182">
        <f>(BB309*$E309*$F309*$G309*$L309*$BC$12)</f>
        <v>0</v>
      </c>
      <c r="BD309" s="182"/>
      <c r="BE309" s="182">
        <f>(BD309*$E309*$F309*$G309*$L309*$BE$12)</f>
        <v>0</v>
      </c>
      <c r="BF309" s="182"/>
      <c r="BG309" s="182">
        <f>(BF309*$E309*$F309*$G309*$L309*$BG$12)</f>
        <v>0</v>
      </c>
      <c r="BH309" s="182"/>
      <c r="BI309" s="183">
        <f>(BH309*$E309*$F309*$G309*$L309*$BI$12)</f>
        <v>0</v>
      </c>
      <c r="BJ309" s="182"/>
      <c r="BK309" s="183">
        <f>(BJ309*$E309*$F309*$G309*$L309*$BK$12)</f>
        <v>0</v>
      </c>
      <c r="BL309" s="182"/>
      <c r="BM309" s="182">
        <f>(BL309*$E309*$F309*$G309*$L309*$BM$12)</f>
        <v>0</v>
      </c>
      <c r="BN309" s="182">
        <v>133</v>
      </c>
      <c r="BO309" s="182">
        <f>(BN309*$E309*$F309*$G309*$M309*$BO$12)</f>
        <v>3382865.2888800004</v>
      </c>
      <c r="BP309" s="182">
        <v>59</v>
      </c>
      <c r="BQ309" s="182">
        <f t="shared" ref="BQ309" si="1225">(BP309/12*11*$E309*$F309*$G309*$M309*$BQ$12)+(BP309/12*$E309*$F309*$G309*$M309*$BQ$14*$BQ$15)</f>
        <v>1467203.496086566</v>
      </c>
      <c r="BR309" s="182"/>
      <c r="BS309" s="183">
        <f>(BR309*$E309*$F309*$G309*$M309*$BS$12)</f>
        <v>0</v>
      </c>
      <c r="BT309" s="182">
        <v>10</v>
      </c>
      <c r="BU309" s="182">
        <f t="shared" si="1217"/>
        <v>257588.27356796805</v>
      </c>
      <c r="BV309" s="182">
        <v>2</v>
      </c>
      <c r="BW309" s="182">
        <f>(BV309*$E309*$F309*$G309*$M309*$BW$12)</f>
        <v>41621.035680000001</v>
      </c>
      <c r="BX309" s="182">
        <v>44</v>
      </c>
      <c r="BY309" s="183">
        <f t="shared" si="1218"/>
        <v>1372151.2053553921</v>
      </c>
      <c r="BZ309" s="182">
        <v>31</v>
      </c>
      <c r="CA309" s="187">
        <f t="shared" si="1219"/>
        <v>936812.62985477981</v>
      </c>
      <c r="CB309" s="182"/>
      <c r="CC309" s="182">
        <f>(CB309*$E309*$F309*$G309*$L309*$CC$12)</f>
        <v>0</v>
      </c>
      <c r="CD309" s="182"/>
      <c r="CE309" s="182">
        <f>(CD309*$E309*$F309*$G309*$L309*$CE$12)</f>
        <v>0</v>
      </c>
      <c r="CF309" s="182"/>
      <c r="CG309" s="182">
        <f>(CF309*$E309*$F309*$G309*$L309*$CG$12)</f>
        <v>0</v>
      </c>
      <c r="CH309" s="182">
        <v>54</v>
      </c>
      <c r="CI309" s="182">
        <f t="shared" si="1220"/>
        <v>1391518.1669412241</v>
      </c>
      <c r="CJ309" s="182"/>
      <c r="CK309" s="182"/>
      <c r="CL309" s="182"/>
      <c r="CM309" s="183">
        <f>(CL309*$E309*$F309*$G309*$L309*$CM$12)</f>
        <v>0</v>
      </c>
      <c r="CN309" s="182">
        <v>81</v>
      </c>
      <c r="CO309" s="183">
        <f>(CN309*$E309*$F309*$G309*$L309*$CO$12)</f>
        <v>1248631.0704000003</v>
      </c>
      <c r="CP309" s="182"/>
      <c r="CQ309" s="182">
        <f>(CP309*$E309*$F309*$G309*$L309*$CQ$12)</f>
        <v>0</v>
      </c>
      <c r="CR309" s="182">
        <v>14</v>
      </c>
      <c r="CS309" s="182">
        <f t="shared" si="1221"/>
        <v>323413.88124168664</v>
      </c>
      <c r="CT309" s="182">
        <v>6</v>
      </c>
      <c r="CU309" s="182">
        <f t="shared" si="1222"/>
        <v>121370.40846251998</v>
      </c>
      <c r="CV309" s="182">
        <v>64</v>
      </c>
      <c r="CW309" s="182">
        <v>1420527.8300000015</v>
      </c>
      <c r="CX309" s="182"/>
      <c r="CY309" s="182">
        <f>(CX309*$E309*$F309*$G309*$M309*$CY$12)</f>
        <v>0</v>
      </c>
      <c r="CZ309" s="182"/>
      <c r="DA309" s="182">
        <v>0</v>
      </c>
      <c r="DB309" s="188">
        <v>15</v>
      </c>
      <c r="DC309" s="182">
        <f>(DB309*$E309*$F309*$G309*$M309*$DC$12)</f>
        <v>312157.76760000002</v>
      </c>
      <c r="DD309" s="182"/>
      <c r="DE309" s="182">
        <f t="shared" si="1223"/>
        <v>0</v>
      </c>
      <c r="DF309" s="182"/>
      <c r="DG309" s="182">
        <f>(DF309*$E309*$F309*$G309*$M309*$DG$12)</f>
        <v>0</v>
      </c>
      <c r="DH309" s="182"/>
      <c r="DI309" s="182">
        <f>(DH309*$E309*$F309*$G309*$M309*$DI$12)</f>
        <v>0</v>
      </c>
      <c r="DJ309" s="182">
        <v>10</v>
      </c>
      <c r="DK309" s="182">
        <f t="shared" si="1224"/>
        <v>251967.19854740004</v>
      </c>
      <c r="DL309" s="182">
        <f>ROUND(10*0.75,0)</f>
        <v>8</v>
      </c>
      <c r="DM309" s="182">
        <f>(DL309*$E309*$F309*$G309*$N309*$DM$12)</f>
        <v>245542.08880000003</v>
      </c>
      <c r="DN309" s="182"/>
      <c r="DO309" s="183">
        <f>(DN309*$E309*$F309*$G309*$O309*$DO$12)</f>
        <v>0</v>
      </c>
      <c r="DP309" s="182"/>
      <c r="DQ309" s="182"/>
      <c r="DR309" s="183">
        <f t="shared" si="1146"/>
        <v>1389</v>
      </c>
      <c r="DS309" s="183">
        <f t="shared" si="1146"/>
        <v>31821839.605017029</v>
      </c>
      <c r="DT309" s="182">
        <v>1382</v>
      </c>
      <c r="DU309" s="182">
        <v>31015162.497550003</v>
      </c>
      <c r="DV309" s="167">
        <f t="shared" si="1035"/>
        <v>7</v>
      </c>
      <c r="DW309" s="167">
        <f t="shared" si="1035"/>
        <v>806677.10746702552</v>
      </c>
    </row>
    <row r="310" spans="1:127" s="268" customFormat="1" ht="36.75" customHeight="1" x14ac:dyDescent="0.3">
      <c r="A310" s="269"/>
      <c r="B310" s="264">
        <v>268</v>
      </c>
      <c r="C310" s="177" t="s">
        <v>697</v>
      </c>
      <c r="D310" s="226" t="s">
        <v>698</v>
      </c>
      <c r="E310" s="265">
        <v>25969</v>
      </c>
      <c r="F310" s="179">
        <v>4.07</v>
      </c>
      <c r="G310" s="168">
        <v>1</v>
      </c>
      <c r="H310" s="168"/>
      <c r="I310" s="168"/>
      <c r="J310" s="168"/>
      <c r="K310" s="106"/>
      <c r="L310" s="227">
        <v>1.4</v>
      </c>
      <c r="M310" s="227">
        <v>1.68</v>
      </c>
      <c r="N310" s="227">
        <v>2.23</v>
      </c>
      <c r="O310" s="227">
        <v>2.57</v>
      </c>
      <c r="P310" s="182">
        <v>1</v>
      </c>
      <c r="Q310" s="182">
        <f>(P310*$E310*$F310*$G310*$L310*$Q$12)</f>
        <v>162768.4982</v>
      </c>
      <c r="R310" s="182"/>
      <c r="S310" s="182">
        <f>(R310*$E310*$F310*$G310*$L310*$S$12)</f>
        <v>0</v>
      </c>
      <c r="T310" s="182">
        <v>3</v>
      </c>
      <c r="U310" s="182">
        <f t="shared" si="1211"/>
        <v>560441.53357500001</v>
      </c>
      <c r="V310" s="182"/>
      <c r="W310" s="183">
        <f t="shared" si="1212"/>
        <v>0</v>
      </c>
      <c r="X310" s="183"/>
      <c r="Y310" s="183">
        <v>0</v>
      </c>
      <c r="Z310" s="183"/>
      <c r="AA310" s="183">
        <v>0</v>
      </c>
      <c r="AB310" s="182">
        <f t="shared" si="1213"/>
        <v>0</v>
      </c>
      <c r="AC310" s="182">
        <f t="shared" si="1213"/>
        <v>0</v>
      </c>
      <c r="AD310" s="182"/>
      <c r="AE310" s="182">
        <f>(AD310*$E310*$F310*$G310*$L310*$AE$12)</f>
        <v>0</v>
      </c>
      <c r="AF310" s="182"/>
      <c r="AG310" s="182"/>
      <c r="AH310" s="182">
        <v>2</v>
      </c>
      <c r="AI310" s="182">
        <f>(AH310*$E310*$F310*$G310*$L310*$AI$12)</f>
        <v>325536.9964</v>
      </c>
      <c r="AJ310" s="182"/>
      <c r="AK310" s="182"/>
      <c r="AL310" s="182"/>
      <c r="AM310" s="182"/>
      <c r="AN310" s="267"/>
      <c r="AO310" s="182">
        <f>(AN310*$E310*$F310*$G310*$L310*$AO$12)</f>
        <v>0</v>
      </c>
      <c r="AP310" s="182">
        <v>7</v>
      </c>
      <c r="AQ310" s="183">
        <f>(AP310*$E310*$F310*$G310*$L310*$AQ$12)</f>
        <v>1139379.4874</v>
      </c>
      <c r="AR310" s="182"/>
      <c r="AS310" s="182">
        <f t="shared" si="1214"/>
        <v>0</v>
      </c>
      <c r="AT310" s="182"/>
      <c r="AU310" s="182">
        <f>(AT310*$E310*$F310*$G310*$M310*$AU$12)</f>
        <v>0</v>
      </c>
      <c r="AV310" s="188"/>
      <c r="AW310" s="182">
        <f>(AV310*$E310*$F310*$G310*$M310*$AW$12)</f>
        <v>0</v>
      </c>
      <c r="AX310" s="182"/>
      <c r="AY310" s="182">
        <f>(AX310*$E310*$F310*$G310*$M310*$AY$12)</f>
        <v>0</v>
      </c>
      <c r="AZ310" s="182"/>
      <c r="BA310" s="182">
        <f>(AZ310*$E310*$F310*$G310*$L310*$BA$12)</f>
        <v>0</v>
      </c>
      <c r="BB310" s="182">
        <v>0</v>
      </c>
      <c r="BC310" s="182">
        <f>(BB310*$E310*$F310*$G310*$L310*$BC$12)</f>
        <v>0</v>
      </c>
      <c r="BD310" s="182"/>
      <c r="BE310" s="182">
        <f>(BD310*$E310*$F310*$G310*$L310*$BE$12)</f>
        <v>0</v>
      </c>
      <c r="BF310" s="182"/>
      <c r="BG310" s="182">
        <f>(BF310*$E310*$F310*$G310*$L310*$BG$12)</f>
        <v>0</v>
      </c>
      <c r="BH310" s="182"/>
      <c r="BI310" s="183">
        <f>(BH310*$E310*$F310*$G310*$L310*$BI$12)</f>
        <v>0</v>
      </c>
      <c r="BJ310" s="182"/>
      <c r="BK310" s="183">
        <f>(BJ310*$E310*$F310*$G310*$L310*$BK$12)</f>
        <v>0</v>
      </c>
      <c r="BL310" s="182"/>
      <c r="BM310" s="182">
        <f>(BL310*$E310*$F310*$G310*$L310*$BM$12)</f>
        <v>0</v>
      </c>
      <c r="BN310" s="182">
        <v>1</v>
      </c>
      <c r="BO310" s="182">
        <f>(BN310*$E310*$F310*$G310*$M310*$BO$12)</f>
        <v>195322.19784000004</v>
      </c>
      <c r="BP310" s="182"/>
      <c r="BQ310" s="182">
        <f>(BP310*$E310*$F310*$G310*$M310*$BQ$12)</f>
        <v>0</v>
      </c>
      <c r="BR310" s="182"/>
      <c r="BS310" s="183">
        <f>(BR310*$E310*$F310*$G310*$M310*$BS$12)</f>
        <v>0</v>
      </c>
      <c r="BT310" s="182"/>
      <c r="BU310" s="182">
        <f>(BT310*$E310*$F310*$G310*$M310*$BU$12)</f>
        <v>0</v>
      </c>
      <c r="BV310" s="182"/>
      <c r="BW310" s="182">
        <f>(BV310*$E310*$F310*$G310*$M310*$BW$12)</f>
        <v>0</v>
      </c>
      <c r="BX310" s="182"/>
      <c r="BY310" s="183">
        <f>(BX310*$E310*$F310*$G310*$M310*$BY$12)</f>
        <v>0</v>
      </c>
      <c r="BZ310" s="182"/>
      <c r="CA310" s="182">
        <f>(BZ310*$E310*$F310*$G310*$M310*$CA$12)</f>
        <v>0</v>
      </c>
      <c r="CB310" s="182"/>
      <c r="CC310" s="182">
        <f>(CB310*$E310*$F310*$G310*$L310*$CC$12)</f>
        <v>0</v>
      </c>
      <c r="CD310" s="182"/>
      <c r="CE310" s="182">
        <f>(CD310*$E310*$F310*$G310*$L310*$CE$12)</f>
        <v>0</v>
      </c>
      <c r="CF310" s="182"/>
      <c r="CG310" s="182">
        <f>(CF310*$E310*$F310*$G310*$L310*$CG$12)</f>
        <v>0</v>
      </c>
      <c r="CH310" s="204"/>
      <c r="CI310" s="182">
        <f t="shared" si="1220"/>
        <v>0</v>
      </c>
      <c r="CJ310" s="182"/>
      <c r="CK310" s="182"/>
      <c r="CL310" s="182"/>
      <c r="CM310" s="183">
        <f>(CL310*$E310*$F310*$G310*$L310*$CM$12)</f>
        <v>0</v>
      </c>
      <c r="CN310" s="182"/>
      <c r="CO310" s="183">
        <f>(CN310*$E310*$F310*$G310*$L310*$CO$12)</f>
        <v>0</v>
      </c>
      <c r="CP310" s="182"/>
      <c r="CQ310" s="182">
        <f>(CP310*$E310*$F310*$G310*$L310*$CQ$12)</f>
        <v>0</v>
      </c>
      <c r="CR310" s="182"/>
      <c r="CS310" s="182">
        <f>(CR310*$E310*$F310*$G310*$L310*$CS$12)</f>
        <v>0</v>
      </c>
      <c r="CT310" s="182"/>
      <c r="CU310" s="182">
        <f>(CT310*$E310*$F310*$G310*$L310*$CU$12)</f>
        <v>0</v>
      </c>
      <c r="CV310" s="182"/>
      <c r="CW310" s="182">
        <v>0</v>
      </c>
      <c r="CX310" s="182"/>
      <c r="CY310" s="182">
        <f>(CX310*$E310*$F310*$G310*$M310*$CY$12)</f>
        <v>0</v>
      </c>
      <c r="CZ310" s="182"/>
      <c r="DA310" s="182">
        <v>0</v>
      </c>
      <c r="DB310" s="188"/>
      <c r="DC310" s="182">
        <f>(DB310*$E310*$F310*$G310*$M310*$DC$12)</f>
        <v>0</v>
      </c>
      <c r="DD310" s="182"/>
      <c r="DE310" s="182">
        <f t="shared" si="1223"/>
        <v>0</v>
      </c>
      <c r="DF310" s="182"/>
      <c r="DG310" s="182">
        <f>(DF310*$E310*$F310*$G310*$M310*$DG$12)</f>
        <v>0</v>
      </c>
      <c r="DH310" s="182"/>
      <c r="DI310" s="182">
        <f>(DH310*$E310*$F310*$G310*$M310*$DI$12)</f>
        <v>0</v>
      </c>
      <c r="DJ310" s="182"/>
      <c r="DK310" s="182">
        <f>(DJ310*$E310*$F310*$G310*$M310*$DK$12)</f>
        <v>0</v>
      </c>
      <c r="DL310" s="182"/>
      <c r="DM310" s="182">
        <f>(DL310*$E310*$F310*$G310*$N310*$DM$12)</f>
        <v>0</v>
      </c>
      <c r="DN310" s="182"/>
      <c r="DO310" s="183">
        <f>(DN310*$E310*$F310*$G310*$O310*$DO$12)</f>
        <v>0</v>
      </c>
      <c r="DP310" s="182"/>
      <c r="DQ310" s="182"/>
      <c r="DR310" s="183">
        <f t="shared" si="1146"/>
        <v>14</v>
      </c>
      <c r="DS310" s="183">
        <f t="shared" si="1146"/>
        <v>2383448.7134150001</v>
      </c>
      <c r="DT310" s="182">
        <v>14</v>
      </c>
      <c r="DU310" s="182">
        <v>2377899.7873399998</v>
      </c>
      <c r="DV310" s="167">
        <f t="shared" si="1035"/>
        <v>0</v>
      </c>
      <c r="DW310" s="167">
        <f t="shared" si="1035"/>
        <v>5548.9260750003159</v>
      </c>
    </row>
    <row r="311" spans="1:127" s="268" customFormat="1" ht="45" customHeight="1" x14ac:dyDescent="0.25">
      <c r="A311" s="154"/>
      <c r="B311" s="264">
        <v>269</v>
      </c>
      <c r="C311" s="177" t="s">
        <v>699</v>
      </c>
      <c r="D311" s="226" t="s">
        <v>700</v>
      </c>
      <c r="E311" s="265">
        <v>25969</v>
      </c>
      <c r="F311" s="227">
        <v>1</v>
      </c>
      <c r="G311" s="168">
        <v>1</v>
      </c>
      <c r="H311" s="168"/>
      <c r="I311" s="168"/>
      <c r="J311" s="168"/>
      <c r="K311" s="106"/>
      <c r="L311" s="227">
        <v>1.4</v>
      </c>
      <c r="M311" s="227">
        <v>1.68</v>
      </c>
      <c r="N311" s="227">
        <v>2.23</v>
      </c>
      <c r="O311" s="227">
        <v>2.57</v>
      </c>
      <c r="P311" s="182">
        <v>10</v>
      </c>
      <c r="Q311" s="182">
        <f>(P311*$E311*$F311*$G311*$L311*$Q$12)</f>
        <v>399922.60000000003</v>
      </c>
      <c r="R311" s="182"/>
      <c r="S311" s="182">
        <f>(R311*$E311*$F311*$G311*$L311*$S$12)</f>
        <v>0</v>
      </c>
      <c r="T311" s="182"/>
      <c r="U311" s="182">
        <f t="shared" si="1211"/>
        <v>0</v>
      </c>
      <c r="V311" s="182"/>
      <c r="W311" s="183">
        <f t="shared" si="1212"/>
        <v>0</v>
      </c>
      <c r="X311" s="183">
        <v>92</v>
      </c>
      <c r="Y311" s="183">
        <v>4682730.0799999991</v>
      </c>
      <c r="Z311" s="183"/>
      <c r="AA311" s="183">
        <v>0</v>
      </c>
      <c r="AB311" s="182">
        <f t="shared" si="1213"/>
        <v>92</v>
      </c>
      <c r="AC311" s="182">
        <f t="shared" si="1213"/>
        <v>4682730.0799999991</v>
      </c>
      <c r="AD311" s="182"/>
      <c r="AE311" s="182">
        <f>(AD311*$E311*$F311*$G311*$L311*$AE$12)</f>
        <v>0</v>
      </c>
      <c r="AF311" s="182"/>
      <c r="AG311" s="182"/>
      <c r="AH311" s="182">
        <v>50</v>
      </c>
      <c r="AI311" s="182">
        <f>(AH311*$E311*$F311*$G311*$L311*$AI$12)</f>
        <v>1999613.0000000002</v>
      </c>
      <c r="AJ311" s="182"/>
      <c r="AK311" s="182"/>
      <c r="AL311" s="182"/>
      <c r="AM311" s="182"/>
      <c r="AN311" s="244"/>
      <c r="AO311" s="182">
        <f>(AN311*$E311*$F311*$G311*$L311*$AO$12)</f>
        <v>0</v>
      </c>
      <c r="AP311" s="182"/>
      <c r="AQ311" s="183">
        <f>(AP311*$E311*$F311*$G311*$L311*$AQ$12)</f>
        <v>0</v>
      </c>
      <c r="AR311" s="182">
        <v>100</v>
      </c>
      <c r="AS311" s="182">
        <f t="shared" si="1214"/>
        <v>4317285.655666667</v>
      </c>
      <c r="AT311" s="182"/>
      <c r="AU311" s="182">
        <f>(AT311*$E311*$F311*$G311*$M311*$AU$12)</f>
        <v>0</v>
      </c>
      <c r="AV311" s="188"/>
      <c r="AW311" s="182">
        <f>(AV311*$E311*$F311*$G311*$M311*$AW$12)</f>
        <v>0</v>
      </c>
      <c r="AX311" s="182"/>
      <c r="AY311" s="182">
        <f>(AX311*$E311*$F311*$G311*$M311*$AY$12)</f>
        <v>0</v>
      </c>
      <c r="AZ311" s="182"/>
      <c r="BA311" s="182">
        <f>(AZ311*$E311*$F311*$G311*$L311*$BA$12)</f>
        <v>0</v>
      </c>
      <c r="BB311" s="182">
        <v>0</v>
      </c>
      <c r="BC311" s="182">
        <f>(BB311*$E311*$F311*$G311*$L311*$BC$12)</f>
        <v>0</v>
      </c>
      <c r="BD311" s="182"/>
      <c r="BE311" s="182">
        <f>(BD311*$E311*$F311*$G311*$L311*$BE$12)</f>
        <v>0</v>
      </c>
      <c r="BF311" s="182"/>
      <c r="BG311" s="182">
        <f>(BF311*$E311*$F311*$G311*$L311*$BG$12)</f>
        <v>0</v>
      </c>
      <c r="BH311" s="182"/>
      <c r="BI311" s="183">
        <f>(BH311*$E311*$F311*$G311*$L311*$BI$12)</f>
        <v>0</v>
      </c>
      <c r="BJ311" s="182"/>
      <c r="BK311" s="183">
        <f>(BJ311*$E311*$F311*$G311*$L311*$BK$12)</f>
        <v>0</v>
      </c>
      <c r="BL311" s="182"/>
      <c r="BM311" s="182">
        <f>(BL311*$E311*$F311*$G311*$L311*$BM$12)</f>
        <v>0</v>
      </c>
      <c r="BN311" s="182">
        <v>91</v>
      </c>
      <c r="BO311" s="182">
        <f>(BN311*$E311*$F311*$G311*$M311*$BO$12)</f>
        <v>4367154.7920000004</v>
      </c>
      <c r="BP311" s="182"/>
      <c r="BQ311" s="182">
        <f>(BP311*$E311*$F311*$G311*$M311*$BQ$12)</f>
        <v>0</v>
      </c>
      <c r="BR311" s="182"/>
      <c r="BS311" s="183">
        <f>(BR311*$E311*$F311*$G311*$M311*$BS$12)</f>
        <v>0</v>
      </c>
      <c r="BT311" s="182"/>
      <c r="BU311" s="182">
        <f>(BT311*$E311*$F311*$G311*$M311*$BU$12)</f>
        <v>0</v>
      </c>
      <c r="BV311" s="182">
        <v>18</v>
      </c>
      <c r="BW311" s="182">
        <f>(BV311*$E311*$F311*$G311*$M311*$BW$12)</f>
        <v>706772.304</v>
      </c>
      <c r="BX311" s="182"/>
      <c r="BY311" s="183">
        <f>(BX311*$E311*$F311*$G311*$M311*$BY$12)</f>
        <v>0</v>
      </c>
      <c r="BZ311" s="182"/>
      <c r="CA311" s="182">
        <f>(BZ311*$E311*$F311*$G311*$M311*$CA$12)</f>
        <v>0</v>
      </c>
      <c r="CB311" s="182"/>
      <c r="CC311" s="182">
        <f>(CB311*$E311*$F311*$G311*$L311*$CC$12)</f>
        <v>0</v>
      </c>
      <c r="CD311" s="182"/>
      <c r="CE311" s="182">
        <f>(CD311*$E311*$F311*$G311*$L311*$CE$12)</f>
        <v>0</v>
      </c>
      <c r="CF311" s="182"/>
      <c r="CG311" s="182">
        <f>(CF311*$E311*$F311*$G311*$L311*$CG$12)</f>
        <v>0</v>
      </c>
      <c r="CH311" s="182">
        <v>12</v>
      </c>
      <c r="CI311" s="182">
        <f t="shared" si="1220"/>
        <v>583445.77230239997</v>
      </c>
      <c r="CJ311" s="182"/>
      <c r="CK311" s="182"/>
      <c r="CL311" s="182"/>
      <c r="CM311" s="183">
        <f>(CL311*$E311*$F311*$G311*$L311*$CM$12)</f>
        <v>0</v>
      </c>
      <c r="CN311" s="182"/>
      <c r="CO311" s="183">
        <f>(CN311*$E311*$F311*$G311*$L311*$CO$12)</f>
        <v>0</v>
      </c>
      <c r="CP311" s="182"/>
      <c r="CQ311" s="182">
        <f>(CP311*$E311*$F311*$G311*$L311*$CQ$12)</f>
        <v>0</v>
      </c>
      <c r="CR311" s="182"/>
      <c r="CS311" s="182">
        <f>(CR311*$E311*$F311*$G311*$L311*$CS$12)</f>
        <v>0</v>
      </c>
      <c r="CT311" s="182"/>
      <c r="CU311" s="182">
        <f>(CT311*$E311*$F311*$G311*$L311*$CU$12)</f>
        <v>0</v>
      </c>
      <c r="CV311" s="182"/>
      <c r="CW311" s="182">
        <v>0</v>
      </c>
      <c r="CX311" s="182"/>
      <c r="CY311" s="182">
        <f>(CX311*$E311*$F311*$G311*$M311*$CY$12)</f>
        <v>0</v>
      </c>
      <c r="CZ311" s="182"/>
      <c r="DA311" s="182">
        <v>0</v>
      </c>
      <c r="DB311" s="188"/>
      <c r="DC311" s="182">
        <f>(DB311*$E311*$F311*$G311*$M311*$DC$12)</f>
        <v>0</v>
      </c>
      <c r="DD311" s="182"/>
      <c r="DE311" s="182">
        <f t="shared" si="1223"/>
        <v>0</v>
      </c>
      <c r="DF311" s="182"/>
      <c r="DG311" s="182">
        <f>(DF311*$E311*$F311*$G311*$M311*$DG$12)</f>
        <v>0</v>
      </c>
      <c r="DH311" s="182"/>
      <c r="DI311" s="182">
        <f>(DH311*$E311*$F311*$G311*$M311*$DI$12)</f>
        <v>0</v>
      </c>
      <c r="DJ311" s="182"/>
      <c r="DK311" s="182">
        <f>(DJ311*$E311*$F311*$G311*$M311*$DK$12)</f>
        <v>0</v>
      </c>
      <c r="DL311" s="182"/>
      <c r="DM311" s="182">
        <f>(DL311*$E311*$F311*$G311*$N311*$DM$12)</f>
        <v>0</v>
      </c>
      <c r="DN311" s="182"/>
      <c r="DO311" s="183">
        <f>(DN311*$E311*$F311*$G311*$O311*$DO$12)</f>
        <v>0</v>
      </c>
      <c r="DP311" s="182"/>
      <c r="DQ311" s="182"/>
      <c r="DR311" s="183">
        <f t="shared" si="1146"/>
        <v>373</v>
      </c>
      <c r="DS311" s="183">
        <f t="shared" si="1146"/>
        <v>17056924.203969065</v>
      </c>
      <c r="DT311" s="182">
        <v>373</v>
      </c>
      <c r="DU311" s="182">
        <v>16830439.649333332</v>
      </c>
      <c r="DV311" s="167">
        <f t="shared" si="1035"/>
        <v>0</v>
      </c>
      <c r="DW311" s="167">
        <f t="shared" si="1035"/>
        <v>226484.55463573337</v>
      </c>
    </row>
    <row r="312" spans="1:127" ht="15.75" customHeight="1" x14ac:dyDescent="0.25">
      <c r="A312" s="170">
        <v>28</v>
      </c>
      <c r="B312" s="270"/>
      <c r="C312" s="271"/>
      <c r="D312" s="272" t="s">
        <v>701</v>
      </c>
      <c r="E312" s="265">
        <v>25969</v>
      </c>
      <c r="F312" s="273">
        <v>2.09</v>
      </c>
      <c r="G312" s="171"/>
      <c r="H312" s="168"/>
      <c r="I312" s="168"/>
      <c r="J312" s="168"/>
      <c r="K312" s="173"/>
      <c r="L312" s="274">
        <v>1.4</v>
      </c>
      <c r="M312" s="274">
        <v>1.68</v>
      </c>
      <c r="N312" s="274">
        <v>2.23</v>
      </c>
      <c r="O312" s="274">
        <v>2.57</v>
      </c>
      <c r="P312" s="166">
        <f t="shared" ref="P312:AD312" si="1226">SUM(P313:P317)</f>
        <v>335</v>
      </c>
      <c r="Q312" s="166">
        <f t="shared" si="1226"/>
        <v>28465836.249200001</v>
      </c>
      <c r="R312" s="166">
        <f t="shared" si="1226"/>
        <v>42</v>
      </c>
      <c r="S312" s="166">
        <f t="shared" si="1226"/>
        <v>3194581.7288000002</v>
      </c>
      <c r="T312" s="166">
        <f t="shared" si="1226"/>
        <v>58</v>
      </c>
      <c r="U312" s="166">
        <f t="shared" si="1226"/>
        <v>5510851.6256499998</v>
      </c>
      <c r="V312" s="166">
        <f t="shared" si="1226"/>
        <v>1</v>
      </c>
      <c r="W312" s="166">
        <f t="shared" si="1226"/>
        <v>93072.895999999993</v>
      </c>
      <c r="X312" s="166">
        <v>45</v>
      </c>
      <c r="Y312" s="166">
        <v>4918611.7007999998</v>
      </c>
      <c r="Z312" s="166">
        <v>1</v>
      </c>
      <c r="AA312" s="166">
        <v>111687.4752</v>
      </c>
      <c r="AB312" s="166">
        <f t="shared" si="1226"/>
        <v>46</v>
      </c>
      <c r="AC312" s="166">
        <f t="shared" si="1226"/>
        <v>5030299.176</v>
      </c>
      <c r="AD312" s="166">
        <f t="shared" si="1226"/>
        <v>0</v>
      </c>
      <c r="AE312" s="166">
        <f t="shared" ref="AE312:CP312" si="1227">SUM(AE313:AE317)</f>
        <v>0</v>
      </c>
      <c r="AF312" s="166">
        <f t="shared" si="1227"/>
        <v>0</v>
      </c>
      <c r="AG312" s="166">
        <f t="shared" si="1227"/>
        <v>0</v>
      </c>
      <c r="AH312" s="166">
        <f t="shared" si="1227"/>
        <v>0</v>
      </c>
      <c r="AI312" s="166">
        <f t="shared" si="1227"/>
        <v>0</v>
      </c>
      <c r="AJ312" s="166">
        <f>SUM(AJ313:AJ317)</f>
        <v>0</v>
      </c>
      <c r="AK312" s="166">
        <f>SUM(AK313:AK317)</f>
        <v>0</v>
      </c>
      <c r="AL312" s="166">
        <f t="shared" si="1227"/>
        <v>0</v>
      </c>
      <c r="AM312" s="166">
        <f t="shared" si="1227"/>
        <v>0</v>
      </c>
      <c r="AN312" s="166">
        <f t="shared" si="1227"/>
        <v>0</v>
      </c>
      <c r="AO312" s="166">
        <f t="shared" si="1227"/>
        <v>0</v>
      </c>
      <c r="AP312" s="166">
        <f t="shared" si="1227"/>
        <v>6</v>
      </c>
      <c r="AQ312" s="166">
        <f t="shared" si="1227"/>
        <v>448713.15720000002</v>
      </c>
      <c r="AR312" s="166">
        <f t="shared" si="1227"/>
        <v>8</v>
      </c>
      <c r="AS312" s="166">
        <f t="shared" si="1227"/>
        <v>640469.3270181499</v>
      </c>
      <c r="AT312" s="166">
        <f t="shared" si="1227"/>
        <v>104</v>
      </c>
      <c r="AU312" s="166">
        <f t="shared" si="1227"/>
        <v>9909953.3111297153</v>
      </c>
      <c r="AV312" s="166">
        <f t="shared" si="1227"/>
        <v>5</v>
      </c>
      <c r="AW312" s="166">
        <f t="shared" si="1227"/>
        <v>590547.54</v>
      </c>
      <c r="AX312" s="166">
        <f t="shared" si="1227"/>
        <v>0</v>
      </c>
      <c r="AY312" s="166">
        <f t="shared" si="1227"/>
        <v>0</v>
      </c>
      <c r="AZ312" s="166">
        <f t="shared" si="1227"/>
        <v>0</v>
      </c>
      <c r="BA312" s="166">
        <f t="shared" si="1227"/>
        <v>0</v>
      </c>
      <c r="BB312" s="166">
        <f t="shared" si="1227"/>
        <v>0</v>
      </c>
      <c r="BC312" s="166">
        <f t="shared" si="1227"/>
        <v>0</v>
      </c>
      <c r="BD312" s="166">
        <f t="shared" si="1227"/>
        <v>0</v>
      </c>
      <c r="BE312" s="166">
        <f t="shared" si="1227"/>
        <v>0</v>
      </c>
      <c r="BF312" s="166">
        <f t="shared" si="1227"/>
        <v>0</v>
      </c>
      <c r="BG312" s="166">
        <f t="shared" si="1227"/>
        <v>0</v>
      </c>
      <c r="BH312" s="166">
        <f t="shared" si="1227"/>
        <v>0</v>
      </c>
      <c r="BI312" s="166">
        <f t="shared" si="1227"/>
        <v>0</v>
      </c>
      <c r="BJ312" s="166">
        <f t="shared" si="1227"/>
        <v>0</v>
      </c>
      <c r="BK312" s="166">
        <f t="shared" si="1227"/>
        <v>0</v>
      </c>
      <c r="BL312" s="166">
        <f t="shared" si="1227"/>
        <v>24</v>
      </c>
      <c r="BM312" s="166">
        <f t="shared" si="1227"/>
        <v>2184506.9800906656</v>
      </c>
      <c r="BN312" s="166">
        <f t="shared" si="1227"/>
        <v>46</v>
      </c>
      <c r="BO312" s="166">
        <f t="shared" si="1227"/>
        <v>4210814.1406800002</v>
      </c>
      <c r="BP312" s="166">
        <f t="shared" si="1227"/>
        <v>0</v>
      </c>
      <c r="BQ312" s="166">
        <f t="shared" si="1227"/>
        <v>0</v>
      </c>
      <c r="BR312" s="166">
        <f t="shared" si="1227"/>
        <v>0</v>
      </c>
      <c r="BS312" s="166">
        <f t="shared" si="1227"/>
        <v>0</v>
      </c>
      <c r="BT312" s="166">
        <f t="shared" si="1227"/>
        <v>4</v>
      </c>
      <c r="BU312" s="166">
        <f t="shared" si="1227"/>
        <v>299385.61607144965</v>
      </c>
      <c r="BV312" s="166">
        <f t="shared" si="1227"/>
        <v>0</v>
      </c>
      <c r="BW312" s="166">
        <f t="shared" si="1227"/>
        <v>0</v>
      </c>
      <c r="BX312" s="166">
        <f t="shared" si="1227"/>
        <v>2</v>
      </c>
      <c r="BY312" s="166">
        <f t="shared" si="1227"/>
        <v>225945.99607910393</v>
      </c>
      <c r="BZ312" s="166">
        <f t="shared" si="1227"/>
        <v>19</v>
      </c>
      <c r="CA312" s="166">
        <f t="shared" si="1227"/>
        <v>2028145.1761372201</v>
      </c>
      <c r="CB312" s="166">
        <f t="shared" si="1227"/>
        <v>0</v>
      </c>
      <c r="CC312" s="166">
        <f t="shared" si="1227"/>
        <v>0</v>
      </c>
      <c r="CD312" s="166">
        <f t="shared" si="1227"/>
        <v>0</v>
      </c>
      <c r="CE312" s="166">
        <f t="shared" si="1227"/>
        <v>0</v>
      </c>
      <c r="CF312" s="166">
        <f t="shared" si="1227"/>
        <v>0</v>
      </c>
      <c r="CG312" s="166">
        <f t="shared" si="1227"/>
        <v>0</v>
      </c>
      <c r="CH312" s="166">
        <f t="shared" si="1227"/>
        <v>19</v>
      </c>
      <c r="CI312" s="166">
        <f t="shared" si="1227"/>
        <v>1515014.1887452318</v>
      </c>
      <c r="CJ312" s="166">
        <f t="shared" si="1227"/>
        <v>0</v>
      </c>
      <c r="CK312" s="166">
        <f t="shared" si="1227"/>
        <v>0</v>
      </c>
      <c r="CL312" s="166">
        <f t="shared" si="1227"/>
        <v>0</v>
      </c>
      <c r="CM312" s="166">
        <f t="shared" si="1227"/>
        <v>0</v>
      </c>
      <c r="CN312" s="166">
        <f t="shared" si="1227"/>
        <v>0</v>
      </c>
      <c r="CO312" s="166">
        <f t="shared" si="1227"/>
        <v>0</v>
      </c>
      <c r="CP312" s="166">
        <f t="shared" si="1227"/>
        <v>0</v>
      </c>
      <c r="CQ312" s="166">
        <f t="shared" ref="CQ312:DQ312" si="1228">SUM(CQ313:CQ317)</f>
        <v>0</v>
      </c>
      <c r="CR312" s="166">
        <f t="shared" si="1228"/>
        <v>11</v>
      </c>
      <c r="CS312" s="166">
        <f t="shared" si="1228"/>
        <v>917283.71034114494</v>
      </c>
      <c r="CT312" s="166">
        <f t="shared" si="1228"/>
        <v>2</v>
      </c>
      <c r="CU312" s="166">
        <f t="shared" si="1228"/>
        <v>146560.49323775998</v>
      </c>
      <c r="CV312" s="166">
        <f t="shared" si="1228"/>
        <v>24</v>
      </c>
      <c r="CW312" s="166">
        <v>1860240.0400000003</v>
      </c>
      <c r="CX312" s="166">
        <f t="shared" si="1228"/>
        <v>2</v>
      </c>
      <c r="CY312" s="166">
        <f t="shared" si="1228"/>
        <v>145015.07015318397</v>
      </c>
      <c r="CZ312" s="166">
        <f t="shared" si="1228"/>
        <v>0</v>
      </c>
      <c r="DA312" s="166">
        <v>0</v>
      </c>
      <c r="DB312" s="166">
        <f t="shared" si="1228"/>
        <v>0</v>
      </c>
      <c r="DC312" s="166">
        <f t="shared" si="1228"/>
        <v>0</v>
      </c>
      <c r="DD312" s="166">
        <f t="shared" si="1228"/>
        <v>0</v>
      </c>
      <c r="DE312" s="166">
        <f t="shared" si="1228"/>
        <v>0</v>
      </c>
      <c r="DF312" s="166">
        <f t="shared" si="1228"/>
        <v>0</v>
      </c>
      <c r="DG312" s="166">
        <f t="shared" si="1228"/>
        <v>0</v>
      </c>
      <c r="DH312" s="166">
        <f t="shared" si="1228"/>
        <v>0</v>
      </c>
      <c r="DI312" s="166">
        <f t="shared" si="1228"/>
        <v>0</v>
      </c>
      <c r="DJ312" s="166">
        <f t="shared" si="1228"/>
        <v>0</v>
      </c>
      <c r="DK312" s="166">
        <f t="shared" si="1228"/>
        <v>0</v>
      </c>
      <c r="DL312" s="166">
        <f t="shared" si="1228"/>
        <v>0</v>
      </c>
      <c r="DM312" s="166">
        <f t="shared" si="1228"/>
        <v>0</v>
      </c>
      <c r="DN312" s="166">
        <f t="shared" si="1228"/>
        <v>2</v>
      </c>
      <c r="DO312" s="166">
        <f t="shared" si="1228"/>
        <v>225916.01704999999</v>
      </c>
      <c r="DP312" s="166">
        <f t="shared" si="1228"/>
        <v>0</v>
      </c>
      <c r="DQ312" s="166">
        <f t="shared" si="1228"/>
        <v>0</v>
      </c>
      <c r="DR312" s="166">
        <f>SUM(DR313:DR317)</f>
        <v>760</v>
      </c>
      <c r="DS312" s="166">
        <f t="shared" ref="DS312" si="1229">SUM(DS313:DS317)</f>
        <v>67643152.439583629</v>
      </c>
      <c r="DT312" s="166">
        <v>750</v>
      </c>
      <c r="DU312" s="166">
        <v>65962770.812675007</v>
      </c>
      <c r="DV312" s="167">
        <f t="shared" si="1035"/>
        <v>10</v>
      </c>
      <c r="DW312" s="167">
        <f t="shared" si="1035"/>
        <v>1680381.6269086227</v>
      </c>
    </row>
    <row r="313" spans="1:127" ht="30" x14ac:dyDescent="0.25">
      <c r="A313" s="154"/>
      <c r="B313" s="176">
        <v>270</v>
      </c>
      <c r="C313" s="177" t="s">
        <v>702</v>
      </c>
      <c r="D313" s="210" t="s">
        <v>703</v>
      </c>
      <c r="E313" s="158">
        <v>25969</v>
      </c>
      <c r="F313" s="179">
        <v>2.0499999999999998</v>
      </c>
      <c r="G313" s="243">
        <v>0.9</v>
      </c>
      <c r="H313" s="242"/>
      <c r="I313" s="242"/>
      <c r="J313" s="242"/>
      <c r="K313" s="106"/>
      <c r="L313" s="180">
        <v>1.4</v>
      </c>
      <c r="M313" s="180">
        <v>1.68</v>
      </c>
      <c r="N313" s="180">
        <v>2.23</v>
      </c>
      <c r="O313" s="181">
        <v>2.57</v>
      </c>
      <c r="P313" s="182">
        <v>60</v>
      </c>
      <c r="Q313" s="182">
        <f>(P313*$E313*$F313*$G313*$L313*$Q$12)</f>
        <v>4427143.182</v>
      </c>
      <c r="R313" s="182"/>
      <c r="S313" s="182">
        <f>(R313*$E313*$F313*$G313*$L313*$S$12)</f>
        <v>0</v>
      </c>
      <c r="T313" s="182">
        <v>4</v>
      </c>
      <c r="U313" s="182">
        <f t="shared" ref="U313:U315" si="1230">(T313/12*11*$E313*$F313*$G313*$L313*$U$12)+(T313/12*1*$E313*$F313*$G313*$L313*$U$14)</f>
        <v>338743.53134999989</v>
      </c>
      <c r="V313" s="182"/>
      <c r="W313" s="183">
        <f t="shared" ref="W313:W315" si="1231">(V313*$E313*$F313*$G313*$L313*$W$12)/12*10+(V313*$E313*$F313*$G313*$L313*$W$13)/12*1++(V313*$E313*$F313*$G313*$L313*$W$14)/12*1</f>
        <v>0</v>
      </c>
      <c r="X313" s="183"/>
      <c r="Y313" s="183">
        <v>0</v>
      </c>
      <c r="Z313" s="183"/>
      <c r="AA313" s="183">
        <v>0</v>
      </c>
      <c r="AB313" s="182">
        <f t="shared" ref="AB313:AC317" si="1232">X313+Z313</f>
        <v>0</v>
      </c>
      <c r="AC313" s="182">
        <f t="shared" si="1232"/>
        <v>0</v>
      </c>
      <c r="AD313" s="182"/>
      <c r="AE313" s="182">
        <f>(AD313*$E313*$F313*$G313*$L313*$AE$12)</f>
        <v>0</v>
      </c>
      <c r="AF313" s="182"/>
      <c r="AG313" s="182"/>
      <c r="AH313" s="182"/>
      <c r="AI313" s="182">
        <f>(AH313*$E313*$F313*$G313*$L313*$AI$12)</f>
        <v>0</v>
      </c>
      <c r="AJ313" s="182"/>
      <c r="AK313" s="182"/>
      <c r="AL313" s="182"/>
      <c r="AM313" s="182"/>
      <c r="AN313" s="184"/>
      <c r="AO313" s="182">
        <f>(AN313*$E313*$F313*$G313*$L313*$AO$12)</f>
        <v>0</v>
      </c>
      <c r="AP313" s="182">
        <v>4</v>
      </c>
      <c r="AQ313" s="183">
        <f>(AP313*$E313*$F313*$G313*$L313*$AQ$12)</f>
        <v>295142.87880000001</v>
      </c>
      <c r="AR313" s="182">
        <v>7</v>
      </c>
      <c r="AS313" s="182">
        <f t="shared" ref="AS313:AS315" si="1233">(AR313*$E313*$F313*$G313*$L313*$AS$12)/12*10+(AR313*$E313*$F313*$G313*$L313*$AS$13)/12*1+(AR313*$E313*$F313*$L313*$G313*$AS$14*$AS$15)/12*1</f>
        <v>557577.44242934987</v>
      </c>
      <c r="AT313" s="182">
        <f>15+2</f>
        <v>17</v>
      </c>
      <c r="AU313" s="182">
        <f t="shared" ref="AU313:AU315" si="1234">(AT313*$E313*$F313*$G313*$M313*$AU$12)/12*10+(AT313*$E313*$F313*$G313*$M313*$AU$13)/12+(AT313*$E313*$F313*$G313*$M313*$AU$14*$AU$15)/12</f>
        <v>1576931.6185310644</v>
      </c>
      <c r="AV313" s="188"/>
      <c r="AW313" s="182">
        <f>(AV313*$E313*$F313*$G313*$M313*$AW$12)</f>
        <v>0</v>
      </c>
      <c r="AX313" s="182"/>
      <c r="AY313" s="187">
        <f>(AX313*$E313*$F313*$G313*$M313*$AY$12)</f>
        <v>0</v>
      </c>
      <c r="AZ313" s="182"/>
      <c r="BA313" s="182">
        <f>(AZ313*$E313*$F313*$G313*$L313*$BA$12)</f>
        <v>0</v>
      </c>
      <c r="BB313" s="182"/>
      <c r="BC313" s="182">
        <f>(BB313*$E313*$F313*$G313*$L313*$BC$12)</f>
        <v>0</v>
      </c>
      <c r="BD313" s="182"/>
      <c r="BE313" s="182">
        <f>(BD313*$E313*$F313*$G313*$L313*$BE$12)</f>
        <v>0</v>
      </c>
      <c r="BF313" s="182"/>
      <c r="BG313" s="182">
        <f>(BF313*$E313*$F313*$G313*$L313*$BG$12)</f>
        <v>0</v>
      </c>
      <c r="BH313" s="182"/>
      <c r="BI313" s="183">
        <f>(BH313*$E313*$F313*$G313*$L313*$BI$12)</f>
        <v>0</v>
      </c>
      <c r="BJ313" s="182"/>
      <c r="BK313" s="183">
        <f>(BJ313*$E313*$F313*$G313*$L313*$BK$12)</f>
        <v>0</v>
      </c>
      <c r="BL313" s="182">
        <v>5</v>
      </c>
      <c r="BM313" s="182">
        <f t="shared" ref="BM313:BM315" si="1235">(BL313/12*11*$E313*$F313*$G313*$L313*$BM$12)+(BL313/12*$E313*$F313*$G313*$L313*$BM$12*$BM$15)</f>
        <v>468163.01292452996</v>
      </c>
      <c r="BN313" s="182">
        <v>3</v>
      </c>
      <c r="BO313" s="182">
        <f>(BN313*$E313*$F313*$G313*$M313*$BO$12)</f>
        <v>265628.59091999999</v>
      </c>
      <c r="BP313" s="182"/>
      <c r="BQ313" s="182">
        <f>(BP313*$E313*$F313*$G313*$M313*$BQ$12)</f>
        <v>0</v>
      </c>
      <c r="BR313" s="182"/>
      <c r="BS313" s="183">
        <f>(BR313*$E313*$F313*$G313*$M313*$BS$12)</f>
        <v>0</v>
      </c>
      <c r="BT313" s="182"/>
      <c r="BU313" s="182">
        <f>(BT313*$E313*$F313*$G313*$M313*$BU$12)</f>
        <v>0</v>
      </c>
      <c r="BV313" s="182"/>
      <c r="BW313" s="182">
        <f>(BV313*$E313*$F313*$G313*$M313*$BW$12)</f>
        <v>0</v>
      </c>
      <c r="BX313" s="182"/>
      <c r="BY313" s="183">
        <f>(BX313*$E313*$F313*$G313*$M313*$BY$12)</f>
        <v>0</v>
      </c>
      <c r="BZ313" s="182">
        <v>2</v>
      </c>
      <c r="CA313" s="187">
        <f t="shared" ref="CA313:CA315" si="1236">(BZ313*$E313*$F313*$G313*$M313*$CA$12)/12*11+(BZ313*$E313*$F313*$G313*$M313*$CA$12*$CA$15)/12</f>
        <v>210397.96738673997</v>
      </c>
      <c r="CB313" s="182"/>
      <c r="CC313" s="182">
        <f>(CB313*$E313*$F313*$G313*$L313*$CC$12)</f>
        <v>0</v>
      </c>
      <c r="CD313" s="182"/>
      <c r="CE313" s="182">
        <f>(CD313*$E313*$F313*$G313*$L313*$CE$12)</f>
        <v>0</v>
      </c>
      <c r="CF313" s="182"/>
      <c r="CG313" s="182">
        <f>(CF313*$E313*$F313*$G313*$L313*$CG$12)</f>
        <v>0</v>
      </c>
      <c r="CH313" s="182"/>
      <c r="CI313" s="182">
        <f>(CH313*$E313*$F313*$G313*$M313*$CI$12)</f>
        <v>0</v>
      </c>
      <c r="CJ313" s="182"/>
      <c r="CK313" s="182"/>
      <c r="CL313" s="182"/>
      <c r="CM313" s="183">
        <f>(CL313*$E313*$F313*$G313*$L313*$CM$12)</f>
        <v>0</v>
      </c>
      <c r="CN313" s="182"/>
      <c r="CO313" s="183">
        <f>(CN313*$E313*$F313*$G313*$L313*$CO$12)</f>
        <v>0</v>
      </c>
      <c r="CP313" s="182"/>
      <c r="CQ313" s="182">
        <f>(CP313*$E313*$F313*$G313*$L313*$CQ$12)</f>
        <v>0</v>
      </c>
      <c r="CR313" s="182">
        <v>1</v>
      </c>
      <c r="CS313" s="182">
        <f t="shared" ref="CS313:CS315" si="1237">(CR313*$E313*$F313*$G313*$L313*$CS$12)/12*10+(CR313*$E313*$F313*$G313*$L313*$CS$13)/12+(CR313*$E313*$F313*$G313*$L313*$CS$13*$CS$15)/12</f>
        <v>80417.602545944988</v>
      </c>
      <c r="CT313" s="182"/>
      <c r="CU313" s="182">
        <f>(CT313*$E313*$F313*$G313*$L313*$CU$12)</f>
        <v>0</v>
      </c>
      <c r="CV313" s="182">
        <v>5</v>
      </c>
      <c r="CW313" s="182">
        <v>301850.67</v>
      </c>
      <c r="CX313" s="182"/>
      <c r="CY313" s="182">
        <f>(CX313*$E313*$F313*$G313*$M313*$CY$12)</f>
        <v>0</v>
      </c>
      <c r="CZ313" s="182"/>
      <c r="DA313" s="182">
        <v>0</v>
      </c>
      <c r="DB313" s="188"/>
      <c r="DC313" s="182">
        <f>(DB313*$E313*$F313*$G313*$M313*$DC$12)</f>
        <v>0</v>
      </c>
      <c r="DD313" s="182"/>
      <c r="DE313" s="187">
        <f t="shared" ref="DE313:DE315" si="1238">(DD313*$E313*$F313*$G313*$M313*DE$12)</f>
        <v>0</v>
      </c>
      <c r="DF313" s="182"/>
      <c r="DG313" s="182">
        <f>(DF313*$E313*$F313*$G313*$M313*$DG$12)</f>
        <v>0</v>
      </c>
      <c r="DH313" s="189"/>
      <c r="DI313" s="182">
        <f>(DH313*$E313*$F313*$G313*$M313*$DI$12)</f>
        <v>0</v>
      </c>
      <c r="DJ313" s="182"/>
      <c r="DK313" s="182">
        <f>(DJ313*$E313*$F313*$G313*$M313*$DK$12)</f>
        <v>0</v>
      </c>
      <c r="DL313" s="182"/>
      <c r="DM313" s="182">
        <f>(DL313*$E313*$F313*$G313*$N313*$DM$12)</f>
        <v>0</v>
      </c>
      <c r="DN313" s="182">
        <f>ROUND(1*0.75,0)</f>
        <v>1</v>
      </c>
      <c r="DO313" s="190">
        <f>(DN313*$E313*$F313*$G313*$O313*$DO$12)</f>
        <v>123135.90884999999</v>
      </c>
      <c r="DP313" s="187"/>
      <c r="DQ313" s="187"/>
      <c r="DR313" s="183">
        <f t="shared" ref="DR313:DS317" si="1239">SUM(P313,R313,T313,V313,AB313,AJ313,AD313,AF313,AH313,AL313,AN313,AP313,AV313,AZ313,BB313,CF313,AR313,BF313,BH313,BJ313,CT313,BL313,BN313,AT313,BR313,AX313,CV313,BT313,CX313,BV313,BX313,BZ313,CH313,CB313,CD313,CJ313,CL313,CN313,CP313,CR313,CZ313,DB313,BP313,BD313,DD313,DF313,DH313,DJ313,DL313,DN313,DP313)</f>
        <v>109</v>
      </c>
      <c r="DS313" s="183">
        <f t="shared" si="1239"/>
        <v>8645132.4057376273</v>
      </c>
      <c r="DT313" s="182">
        <v>109</v>
      </c>
      <c r="DU313" s="182">
        <v>8488759.5731549989</v>
      </c>
      <c r="DV313" s="167">
        <f t="shared" si="1035"/>
        <v>0</v>
      </c>
      <c r="DW313" s="167">
        <f t="shared" si="1035"/>
        <v>156372.83258262835</v>
      </c>
    </row>
    <row r="314" spans="1:127" ht="45" customHeight="1" x14ac:dyDescent="0.25">
      <c r="A314" s="154"/>
      <c r="B314" s="176">
        <v>271</v>
      </c>
      <c r="C314" s="177" t="s">
        <v>704</v>
      </c>
      <c r="D314" s="210" t="s">
        <v>705</v>
      </c>
      <c r="E314" s="158">
        <v>25969</v>
      </c>
      <c r="F314" s="179">
        <v>1.54</v>
      </c>
      <c r="G314" s="168">
        <v>1</v>
      </c>
      <c r="H314" s="169"/>
      <c r="I314" s="169"/>
      <c r="J314" s="169"/>
      <c r="K314" s="106"/>
      <c r="L314" s="180">
        <v>1.4</v>
      </c>
      <c r="M314" s="180">
        <v>1.68</v>
      </c>
      <c r="N314" s="180">
        <v>2.23</v>
      </c>
      <c r="O314" s="181">
        <v>2.57</v>
      </c>
      <c r="P314" s="182">
        <v>12</v>
      </c>
      <c r="Q314" s="182">
        <f>(P314*$E314*$F314*$G314*$L314*$Q$12)</f>
        <v>739056.96480000007</v>
      </c>
      <c r="R314" s="182">
        <v>2</v>
      </c>
      <c r="S314" s="182">
        <f>(R314*$E314*$F314*$G314*$L314*$S$12)</f>
        <v>123176.1608</v>
      </c>
      <c r="T314" s="182">
        <v>18</v>
      </c>
      <c r="U314" s="182">
        <f t="shared" si="1230"/>
        <v>1272353.7519</v>
      </c>
      <c r="V314" s="182"/>
      <c r="W314" s="183">
        <f t="shared" si="1231"/>
        <v>0</v>
      </c>
      <c r="X314" s="183">
        <v>2</v>
      </c>
      <c r="Y314" s="183">
        <v>156769.65919999999</v>
      </c>
      <c r="Z314" s="183"/>
      <c r="AA314" s="183">
        <v>0</v>
      </c>
      <c r="AB314" s="182">
        <f t="shared" si="1232"/>
        <v>2</v>
      </c>
      <c r="AC314" s="182">
        <f t="shared" si="1232"/>
        <v>156769.65919999999</v>
      </c>
      <c r="AD314" s="182"/>
      <c r="AE314" s="182">
        <f>(AD314*$E314*$F314*$G314*$L314*$AE$12)</f>
        <v>0</v>
      </c>
      <c r="AF314" s="182"/>
      <c r="AG314" s="182"/>
      <c r="AH314" s="182"/>
      <c r="AI314" s="182">
        <f>(AH314*$E314*$F314*$G314*$L314*$AI$12)</f>
        <v>0</v>
      </c>
      <c r="AJ314" s="182"/>
      <c r="AK314" s="182"/>
      <c r="AL314" s="182"/>
      <c r="AM314" s="182"/>
      <c r="AN314" s="184"/>
      <c r="AO314" s="182">
        <f>(AN314*$E314*$F314*$G314*$L314*$AO$12)</f>
        <v>0</v>
      </c>
      <c r="AP314" s="182"/>
      <c r="AQ314" s="183">
        <f>(AP314*$E314*$F314*$G314*$L314*$AQ$12)</f>
        <v>0</v>
      </c>
      <c r="AR314" s="182"/>
      <c r="AS314" s="182">
        <f t="shared" si="1233"/>
        <v>0</v>
      </c>
      <c r="AT314" s="182">
        <f>8-2-1</f>
        <v>5</v>
      </c>
      <c r="AU314" s="182">
        <f t="shared" si="1234"/>
        <v>387131.30759410799</v>
      </c>
      <c r="AV314" s="188"/>
      <c r="AW314" s="182">
        <f>(AV314*$E314*$F314*$G314*$M314*$AW$12)</f>
        <v>0</v>
      </c>
      <c r="AX314" s="182"/>
      <c r="AY314" s="187">
        <f>(AX314*$E314*$F314*$G314*$M314*$AY$12)</f>
        <v>0</v>
      </c>
      <c r="AZ314" s="182"/>
      <c r="BA314" s="182">
        <f>(AZ314*$E314*$F314*$G314*$L314*$BA$12)</f>
        <v>0</v>
      </c>
      <c r="BB314" s="182"/>
      <c r="BC314" s="182">
        <f>(BB314*$E314*$F314*$G314*$L314*$BC$12)</f>
        <v>0</v>
      </c>
      <c r="BD314" s="182"/>
      <c r="BE314" s="182">
        <f>(BD314*$E314*$F314*$G314*$L314*$BE$12)</f>
        <v>0</v>
      </c>
      <c r="BF314" s="182"/>
      <c r="BG314" s="182">
        <f>(BF314*$E314*$F314*$G314*$L314*$BG$12)</f>
        <v>0</v>
      </c>
      <c r="BH314" s="182"/>
      <c r="BI314" s="183">
        <f>(BH314*$E314*$F314*$G314*$L314*$BI$12)</f>
        <v>0</v>
      </c>
      <c r="BJ314" s="182"/>
      <c r="BK314" s="183">
        <f>(BJ314*$E314*$F314*$G314*$L314*$BK$12)</f>
        <v>0</v>
      </c>
      <c r="BL314" s="182">
        <v>7</v>
      </c>
      <c r="BM314" s="182">
        <f t="shared" si="1235"/>
        <v>547078.29586194397</v>
      </c>
      <c r="BN314" s="182">
        <v>2</v>
      </c>
      <c r="BO314" s="182">
        <f>(BN314*$E314*$F314*$G314*$M314*$BO$12)</f>
        <v>147811.39296000003</v>
      </c>
      <c r="BP314" s="182"/>
      <c r="BQ314" s="182">
        <f>(BP314*$E314*$F314*$G314*$M314*$BQ$12)</f>
        <v>0</v>
      </c>
      <c r="BR314" s="182"/>
      <c r="BS314" s="183">
        <f>(BR314*$E314*$F314*$G314*$M314*$BS$12)</f>
        <v>0</v>
      </c>
      <c r="BT314" s="182">
        <v>4</v>
      </c>
      <c r="BU314" s="182">
        <f t="shared" ref="BU314" si="1240">(BT314*$E314*$F314*$G314*$M314*$BU$12)/12*10+(BT314*$E314*$F314*$G314*$M314*$BU$13)/12+(BT314*$E314*$F314*$G314*$M314*$BU$13*$BU$15)/12</f>
        <v>299385.61607144965</v>
      </c>
      <c r="BV314" s="182"/>
      <c r="BW314" s="182">
        <f>(BV314*$E314*$F314*$G314*$M314*$BW$12)</f>
        <v>0</v>
      </c>
      <c r="BX314" s="182"/>
      <c r="BY314" s="183">
        <f>(BX314*$E314*$F314*$G314*$M314*$BY$12)</f>
        <v>0</v>
      </c>
      <c r="BZ314" s="182">
        <v>2</v>
      </c>
      <c r="CA314" s="187">
        <f t="shared" si="1236"/>
        <v>175616.73158568004</v>
      </c>
      <c r="CB314" s="182"/>
      <c r="CC314" s="182">
        <f>(CB314*$E314*$F314*$G314*$L314*$CC$12)</f>
        <v>0</v>
      </c>
      <c r="CD314" s="182"/>
      <c r="CE314" s="182">
        <f>(CD314*$E314*$F314*$G314*$L314*$CE$12)</f>
        <v>0</v>
      </c>
      <c r="CF314" s="182"/>
      <c r="CG314" s="182">
        <f>(CF314*$E314*$F314*$G314*$L314*$CG$12)</f>
        <v>0</v>
      </c>
      <c r="CH314" s="182">
        <v>14</v>
      </c>
      <c r="CI314" s="182">
        <f t="shared" ref="CI314:CI315" si="1241">(CH314*$E314*$F314*$G314*$M314*$CI$12)/12*11+(CH314*$E314*$F314*$G314*$M314*$CI$12*$CI$15)/12</f>
        <v>1048257.5709033119</v>
      </c>
      <c r="CJ314" s="182"/>
      <c r="CK314" s="182"/>
      <c r="CL314" s="182"/>
      <c r="CM314" s="183">
        <f>(CL314*$E314*$F314*$G314*$L314*$CM$12)</f>
        <v>0</v>
      </c>
      <c r="CN314" s="182"/>
      <c r="CO314" s="183">
        <f>(CN314*$E314*$F314*$G314*$L314*$CO$12)</f>
        <v>0</v>
      </c>
      <c r="CP314" s="182"/>
      <c r="CQ314" s="182">
        <f>(CP314*$E314*$F314*$G314*$L314*$CQ$12)</f>
        <v>0</v>
      </c>
      <c r="CR314" s="182"/>
      <c r="CS314" s="182">
        <f t="shared" si="1237"/>
        <v>0</v>
      </c>
      <c r="CT314" s="182"/>
      <c r="CU314" s="182">
        <f>(CT314*$E314*$F314*$G314*$L314*$CU$12)</f>
        <v>0</v>
      </c>
      <c r="CV314" s="182">
        <v>2</v>
      </c>
      <c r="CW314" s="182">
        <v>134374</v>
      </c>
      <c r="CX314" s="182">
        <v>2</v>
      </c>
      <c r="CY314" s="182">
        <f t="shared" ref="CY314" si="1242">(CX314/12*11*$E314*$F314*$G314*$M314*$CY$12)+(CX314/12*$E314*$F314*$G314*$M314*$CY$15*$CY$12)</f>
        <v>145015.07015318397</v>
      </c>
      <c r="CZ314" s="182"/>
      <c r="DA314" s="182">
        <v>0</v>
      </c>
      <c r="DB314" s="188"/>
      <c r="DC314" s="182">
        <f>(DB314*$E314*$F314*$G314*$M314*$DC$12)</f>
        <v>0</v>
      </c>
      <c r="DD314" s="182"/>
      <c r="DE314" s="187">
        <f t="shared" si="1238"/>
        <v>0</v>
      </c>
      <c r="DF314" s="182"/>
      <c r="DG314" s="182">
        <f>(DF314*$E314*$F314*$G314*$M314*$DG$12)</f>
        <v>0</v>
      </c>
      <c r="DH314" s="189"/>
      <c r="DI314" s="182">
        <f>(DH314*$E314*$F314*$G314*$M314*$DI$12)</f>
        <v>0</v>
      </c>
      <c r="DJ314" s="182"/>
      <c r="DK314" s="182">
        <f t="shared" ref="DK314:DK315" si="1243">(DJ314/12*11*$E314*$F314*$G314*$M314*$DK$12)+(DJ314/12*1*$E314*$F314*$M314*$G314*$DK$12*$DK$15)</f>
        <v>0</v>
      </c>
      <c r="DL314" s="182"/>
      <c r="DM314" s="182">
        <f>(DL314*$E314*$F314*$G314*$N314*$DM$12)</f>
        <v>0</v>
      </c>
      <c r="DN314" s="182">
        <f>ROUND(1*0.75,0)</f>
        <v>1</v>
      </c>
      <c r="DO314" s="190">
        <f>(DN314*$E314*$F314*$G314*$O314*$DO$12)</f>
        <v>102780.1082</v>
      </c>
      <c r="DP314" s="187"/>
      <c r="DQ314" s="187"/>
      <c r="DR314" s="183">
        <f t="shared" si="1239"/>
        <v>73</v>
      </c>
      <c r="DS314" s="183">
        <f t="shared" si="1239"/>
        <v>5278806.6300296774</v>
      </c>
      <c r="DT314" s="182">
        <v>73</v>
      </c>
      <c r="DU314" s="182">
        <v>5031506.2215199992</v>
      </c>
      <c r="DV314" s="167">
        <f t="shared" si="1035"/>
        <v>0</v>
      </c>
      <c r="DW314" s="167">
        <f t="shared" si="1035"/>
        <v>247300.40850967821</v>
      </c>
    </row>
    <row r="315" spans="1:127" ht="45" customHeight="1" x14ac:dyDescent="0.25">
      <c r="A315" s="154"/>
      <c r="B315" s="176">
        <v>272</v>
      </c>
      <c r="C315" s="177" t="s">
        <v>706</v>
      </c>
      <c r="D315" s="210" t="s">
        <v>707</v>
      </c>
      <c r="E315" s="158">
        <v>25969</v>
      </c>
      <c r="F315" s="179">
        <v>1.92</v>
      </c>
      <c r="G315" s="168">
        <v>1</v>
      </c>
      <c r="H315" s="169"/>
      <c r="I315" s="169"/>
      <c r="J315" s="169"/>
      <c r="K315" s="106"/>
      <c r="L315" s="180">
        <v>1.4</v>
      </c>
      <c r="M315" s="180">
        <v>1.68</v>
      </c>
      <c r="N315" s="180">
        <v>2.23</v>
      </c>
      <c r="O315" s="181">
        <v>2.57</v>
      </c>
      <c r="P315" s="182">
        <v>166</v>
      </c>
      <c r="Q315" s="182">
        <f>(P315*$E315*$F315*$G315*$L315*$Q$12)</f>
        <v>12746333.1072</v>
      </c>
      <c r="R315" s="182">
        <v>40</v>
      </c>
      <c r="S315" s="182">
        <f>(R315*$E315*$F315*$G315*$L315*$S$12)</f>
        <v>3071405.568</v>
      </c>
      <c r="T315" s="182">
        <v>8</v>
      </c>
      <c r="U315" s="182">
        <f t="shared" si="1230"/>
        <v>705027.18719999993</v>
      </c>
      <c r="V315" s="182"/>
      <c r="W315" s="183">
        <f t="shared" si="1231"/>
        <v>0</v>
      </c>
      <c r="X315" s="183">
        <v>8</v>
      </c>
      <c r="Y315" s="183">
        <v>781812.3263999999</v>
      </c>
      <c r="Z315" s="183"/>
      <c r="AA315" s="183">
        <v>0</v>
      </c>
      <c r="AB315" s="182">
        <f t="shared" si="1232"/>
        <v>8</v>
      </c>
      <c r="AC315" s="182">
        <f t="shared" si="1232"/>
        <v>781812.3263999999</v>
      </c>
      <c r="AD315" s="182"/>
      <c r="AE315" s="182">
        <f>(AD315*$E315*$F315*$G315*$L315*$AE$12)</f>
        <v>0</v>
      </c>
      <c r="AF315" s="182"/>
      <c r="AG315" s="182"/>
      <c r="AH315" s="182"/>
      <c r="AI315" s="182">
        <f>(AH315*$E315*$F315*$G315*$L315*$AI$12)</f>
        <v>0</v>
      </c>
      <c r="AJ315" s="182"/>
      <c r="AK315" s="182"/>
      <c r="AL315" s="182"/>
      <c r="AM315" s="182"/>
      <c r="AN315" s="184"/>
      <c r="AO315" s="182">
        <f>(AN315*$E315*$F315*$G315*$L315*$AO$12)</f>
        <v>0</v>
      </c>
      <c r="AP315" s="182">
        <v>2</v>
      </c>
      <c r="AQ315" s="183">
        <f>(AP315*$E315*$F315*$G315*$L315*$AQ$12)</f>
        <v>153570.27839999998</v>
      </c>
      <c r="AR315" s="182">
        <v>1</v>
      </c>
      <c r="AS315" s="182">
        <f t="shared" si="1233"/>
        <v>82891.884588799992</v>
      </c>
      <c r="AT315" s="182">
        <f>70+10</f>
        <v>80</v>
      </c>
      <c r="AU315" s="182">
        <f t="shared" si="1234"/>
        <v>7722515.4346045423</v>
      </c>
      <c r="AV315" s="188"/>
      <c r="AW315" s="182">
        <f>(AV315*$E315*$F315*$G315*$M315*$AW$12)</f>
        <v>0</v>
      </c>
      <c r="AX315" s="182"/>
      <c r="AY315" s="187">
        <f>(AX315*$E315*$F315*$G315*$M315*$AY$12)</f>
        <v>0</v>
      </c>
      <c r="AZ315" s="182"/>
      <c r="BA315" s="182">
        <f>(AZ315*$E315*$F315*$G315*$L315*$BA$12)</f>
        <v>0</v>
      </c>
      <c r="BB315" s="182"/>
      <c r="BC315" s="182">
        <f>(BB315*$E315*$F315*$G315*$L315*$BC$12)</f>
        <v>0</v>
      </c>
      <c r="BD315" s="182"/>
      <c r="BE315" s="182">
        <f>(BD315*$E315*$F315*$G315*$L315*$BE$12)</f>
        <v>0</v>
      </c>
      <c r="BF315" s="182"/>
      <c r="BG315" s="182">
        <f>(BF315*$E315*$F315*$G315*$L315*$BG$12)</f>
        <v>0</v>
      </c>
      <c r="BH315" s="182"/>
      <c r="BI315" s="183">
        <f>(BH315*$E315*$F315*$G315*$L315*$BI$12)</f>
        <v>0</v>
      </c>
      <c r="BJ315" s="182"/>
      <c r="BK315" s="183">
        <f>(BJ315*$E315*$F315*$G315*$L315*$BK$12)</f>
        <v>0</v>
      </c>
      <c r="BL315" s="182">
        <v>12</v>
      </c>
      <c r="BM315" s="182">
        <f t="shared" si="1235"/>
        <v>1169265.6713041919</v>
      </c>
      <c r="BN315" s="182">
        <v>40</v>
      </c>
      <c r="BO315" s="182">
        <f>(BN315*$E315*$F315*$G315*$M315*$BO$12)</f>
        <v>3685686.6815999998</v>
      </c>
      <c r="BP315" s="182"/>
      <c r="BQ315" s="182">
        <f>(BP315*$E315*$F315*$G315*$M315*$BQ$12)</f>
        <v>0</v>
      </c>
      <c r="BR315" s="182"/>
      <c r="BS315" s="183">
        <f>(BR315*$E315*$F315*$G315*$M315*$BS$12)</f>
        <v>0</v>
      </c>
      <c r="BT315" s="182"/>
      <c r="BU315" s="182">
        <f>(BT315*$E315*$F315*$G315*$M315*$BU$12)</f>
        <v>0</v>
      </c>
      <c r="BV315" s="182"/>
      <c r="BW315" s="182">
        <f>(BV315*$E315*$F315*$G315*$M315*$BW$12)</f>
        <v>0</v>
      </c>
      <c r="BX315" s="182">
        <v>2</v>
      </c>
      <c r="BY315" s="183">
        <f t="shared" ref="BY315" si="1244">(BX315*$E315*$F315*$G315*$M315*$BY$12)/12*11+(BX315*$E315*$F315*$G315*$M315*$BY$12*$BY$15)/12</f>
        <v>225945.99607910393</v>
      </c>
      <c r="BZ315" s="182">
        <v>15</v>
      </c>
      <c r="CA315" s="187">
        <f t="shared" si="1236"/>
        <v>1642130.4771648</v>
      </c>
      <c r="CB315" s="182"/>
      <c r="CC315" s="182">
        <f>(CB315*$E315*$F315*$G315*$L315*$CC$12)</f>
        <v>0</v>
      </c>
      <c r="CD315" s="182"/>
      <c r="CE315" s="182">
        <f>(CD315*$E315*$F315*$G315*$L315*$CE$12)</f>
        <v>0</v>
      </c>
      <c r="CF315" s="182"/>
      <c r="CG315" s="182">
        <f>(CF315*$E315*$F315*$G315*$L315*$CG$12)</f>
        <v>0</v>
      </c>
      <c r="CH315" s="182">
        <v>5</v>
      </c>
      <c r="CI315" s="182">
        <f t="shared" si="1241"/>
        <v>466756.61784191994</v>
      </c>
      <c r="CJ315" s="182"/>
      <c r="CK315" s="182"/>
      <c r="CL315" s="182"/>
      <c r="CM315" s="183">
        <f>(CL315*$E315*$F315*$G315*$L315*$CM$12)</f>
        <v>0</v>
      </c>
      <c r="CN315" s="182"/>
      <c r="CO315" s="183">
        <f>(CN315*$E315*$F315*$G315*$L315*$CO$12)</f>
        <v>0</v>
      </c>
      <c r="CP315" s="182"/>
      <c r="CQ315" s="182">
        <f>(CP315*$E315*$F315*$G315*$L315*$CQ$12)</f>
        <v>0</v>
      </c>
      <c r="CR315" s="182">
        <v>10</v>
      </c>
      <c r="CS315" s="182">
        <f t="shared" si="1237"/>
        <v>836866.10779519996</v>
      </c>
      <c r="CT315" s="182">
        <v>2</v>
      </c>
      <c r="CU315" s="182">
        <f t="shared" ref="CU315" si="1245">(CT315*$E315*$F315*$G315*$L315*$CU$12)/12*11+(CT315*$E315*$F315*$G315*$L315*$CU$12*$CU$15)/12</f>
        <v>146560.49323775998</v>
      </c>
      <c r="CV315" s="182">
        <v>17</v>
      </c>
      <c r="CW315" s="182">
        <v>1424015.3700000003</v>
      </c>
      <c r="CX315" s="182"/>
      <c r="CY315" s="182">
        <f>(CX315*$E315*$F315*$G315*$M315*$CY$12)</f>
        <v>0</v>
      </c>
      <c r="CZ315" s="182"/>
      <c r="DA315" s="182">
        <v>0</v>
      </c>
      <c r="DB315" s="188"/>
      <c r="DC315" s="182">
        <f>(DB315*$E315*$F315*$G315*$M315*$DC$12)</f>
        <v>0</v>
      </c>
      <c r="DD315" s="182"/>
      <c r="DE315" s="187">
        <f t="shared" si="1238"/>
        <v>0</v>
      </c>
      <c r="DF315" s="182"/>
      <c r="DG315" s="182">
        <f>(DF315*$E315*$F315*$G315*$M315*$DG$12)</f>
        <v>0</v>
      </c>
      <c r="DH315" s="189"/>
      <c r="DI315" s="182">
        <f>(DH315*$E315*$F315*$G315*$M315*$DI$12)</f>
        <v>0</v>
      </c>
      <c r="DJ315" s="182"/>
      <c r="DK315" s="182">
        <f t="shared" si="1243"/>
        <v>0</v>
      </c>
      <c r="DL315" s="182"/>
      <c r="DM315" s="182">
        <f>(DL315*$E315*$F315*$G315*$N315*$DM$12)</f>
        <v>0</v>
      </c>
      <c r="DN315" s="182"/>
      <c r="DO315" s="190">
        <f>(DN315*$E315*$F315*$G315*$O315*$DO$12)</f>
        <v>0</v>
      </c>
      <c r="DP315" s="187"/>
      <c r="DQ315" s="187"/>
      <c r="DR315" s="183">
        <f t="shared" si="1239"/>
        <v>408</v>
      </c>
      <c r="DS315" s="183">
        <f t="shared" si="1239"/>
        <v>34860783.201416321</v>
      </c>
      <c r="DT315" s="182">
        <v>394</v>
      </c>
      <c r="DU315" s="182">
        <v>33105214.780560002</v>
      </c>
      <c r="DV315" s="167">
        <f t="shared" si="1035"/>
        <v>14</v>
      </c>
      <c r="DW315" s="167">
        <f t="shared" si="1035"/>
        <v>1755568.4208563194</v>
      </c>
    </row>
    <row r="316" spans="1:127" ht="45" customHeight="1" x14ac:dyDescent="0.25">
      <c r="A316" s="154"/>
      <c r="B316" s="176">
        <v>273</v>
      </c>
      <c r="C316" s="177" t="s">
        <v>708</v>
      </c>
      <c r="D316" s="210" t="s">
        <v>709</v>
      </c>
      <c r="E316" s="158">
        <v>25969</v>
      </c>
      <c r="F316" s="179">
        <v>2.56</v>
      </c>
      <c r="G316" s="168">
        <v>1</v>
      </c>
      <c r="H316" s="169"/>
      <c r="I316" s="169"/>
      <c r="J316" s="169"/>
      <c r="K316" s="106"/>
      <c r="L316" s="180">
        <v>1.4</v>
      </c>
      <c r="M316" s="180">
        <v>1.68</v>
      </c>
      <c r="N316" s="180">
        <v>2.23</v>
      </c>
      <c r="O316" s="181">
        <v>2.57</v>
      </c>
      <c r="P316" s="182">
        <v>40</v>
      </c>
      <c r="Q316" s="182">
        <f t="shared" ref="Q316:Q317" si="1246">(P316*$E316*$F316*$G316*$L316)</f>
        <v>3722915.8399999999</v>
      </c>
      <c r="R316" s="182"/>
      <c r="S316" s="187">
        <f t="shared" ref="S316:S317" si="1247">(R316*$E316*$F316*$G316*$L316)</f>
        <v>0</v>
      </c>
      <c r="T316" s="182">
        <v>6</v>
      </c>
      <c r="U316" s="182">
        <f t="shared" ref="U316:U317" si="1248">(T316*$E316*$F316*$G316*$L316)</f>
        <v>558437.37600000005</v>
      </c>
      <c r="V316" s="182">
        <v>1</v>
      </c>
      <c r="W316" s="182">
        <f t="shared" ref="W316:W317" si="1249">(V316*$E316*$F316*$G316*$L316)</f>
        <v>93072.895999999993</v>
      </c>
      <c r="X316" s="182">
        <v>8</v>
      </c>
      <c r="Y316" s="182">
        <v>744583.16799999995</v>
      </c>
      <c r="Z316" s="182">
        <v>1</v>
      </c>
      <c r="AA316" s="182">
        <v>111687.4752</v>
      </c>
      <c r="AB316" s="182">
        <f t="shared" si="1232"/>
        <v>9</v>
      </c>
      <c r="AC316" s="182">
        <f t="shared" si="1232"/>
        <v>856270.64319999993</v>
      </c>
      <c r="AD316" s="182"/>
      <c r="AE316" s="182">
        <f t="shared" ref="AE316:AE317" si="1250">(AD316*$E316*$F316*$G316*$L316)</f>
        <v>0</v>
      </c>
      <c r="AF316" s="182"/>
      <c r="AG316" s="182"/>
      <c r="AH316" s="182"/>
      <c r="AI316" s="182">
        <f t="shared" ref="AI316:AI317" si="1251">(AH316*$E316*$F316*$G316*$L316)</f>
        <v>0</v>
      </c>
      <c r="AJ316" s="182"/>
      <c r="AK316" s="182"/>
      <c r="AL316" s="182"/>
      <c r="AM316" s="182"/>
      <c r="AN316" s="184"/>
      <c r="AO316" s="182">
        <f t="shared" ref="AO316:AO317" si="1252">(AN316*$E316*$F316*$G316*$L316)</f>
        <v>0</v>
      </c>
      <c r="AP316" s="182"/>
      <c r="AQ316" s="182">
        <f t="shared" ref="AQ316:AQ317" si="1253">(AP316*$E316*$F316*$G316*$L316)</f>
        <v>0</v>
      </c>
      <c r="AR316" s="182"/>
      <c r="AS316" s="182">
        <f t="shared" ref="AS316:AS317" si="1254">(AR316*$E316*$F316*$G316*$L316)</f>
        <v>0</v>
      </c>
      <c r="AT316" s="182">
        <v>2</v>
      </c>
      <c r="AU316" s="183">
        <f t="shared" ref="AU316:AU317" si="1255">(AT316*$E316*$F316*$G316*$M316)</f>
        <v>223374.9504</v>
      </c>
      <c r="AV316" s="188">
        <v>4</v>
      </c>
      <c r="AW316" s="182">
        <v>446749.92</v>
      </c>
      <c r="AX316" s="182"/>
      <c r="AY316" s="187">
        <f t="shared" ref="AY316:AY317" si="1256">(AX316*$E316*$F316*$G316*$M316)</f>
        <v>0</v>
      </c>
      <c r="AZ316" s="182"/>
      <c r="BA316" s="182">
        <f>(AZ316*$E316*$F316*$G316*$L316*$AO$12)</f>
        <v>0</v>
      </c>
      <c r="BB316" s="182"/>
      <c r="BC316" s="182">
        <f t="shared" ref="BC316:BC317" si="1257">(BB316*$E316*$F316*$G316*$L316*BC$12)</f>
        <v>0</v>
      </c>
      <c r="BD316" s="182"/>
      <c r="BE316" s="182">
        <f>(BD316*$E316*$F316*$G316*$L316*BE$12)</f>
        <v>0</v>
      </c>
      <c r="BF316" s="182"/>
      <c r="BG316" s="182">
        <f t="shared" ref="BG316:BG317" si="1258">(BF316*$E316*$F316*$G316*$L316)</f>
        <v>0</v>
      </c>
      <c r="BH316" s="182"/>
      <c r="BI316" s="182">
        <f t="shared" ref="BI316:BI317" si="1259">(BH316*$E316*$F316*$G316*$L316)</f>
        <v>0</v>
      </c>
      <c r="BJ316" s="182"/>
      <c r="BK316" s="182"/>
      <c r="BL316" s="182"/>
      <c r="BM316" s="182">
        <f t="shared" ref="BM316:BM317" si="1260">(BL316*$E316*$F316*$G316*$L316)</f>
        <v>0</v>
      </c>
      <c r="BN316" s="182">
        <v>1</v>
      </c>
      <c r="BO316" s="182">
        <f t="shared" ref="BO316:BO317" si="1261">(BN316*$E316*$F316*$G316*$M316)</f>
        <v>111687.4752</v>
      </c>
      <c r="BP316" s="182"/>
      <c r="BQ316" s="182">
        <f t="shared" ref="BQ316:BQ317" si="1262">(BP316*$E316*$F316*$G316*$M316)</f>
        <v>0</v>
      </c>
      <c r="BR316" s="182"/>
      <c r="BS316" s="182">
        <f t="shared" ref="BS316:BS317" si="1263">(BR316*$E316*$F316*$G316*$M316)</f>
        <v>0</v>
      </c>
      <c r="BT316" s="182"/>
      <c r="BU316" s="182">
        <f t="shared" ref="BU316:BU317" si="1264">(BT316*$E316*$F316*$G316*$M316)</f>
        <v>0</v>
      </c>
      <c r="BV316" s="182"/>
      <c r="BW316" s="182">
        <f t="shared" ref="BW316:BW317" si="1265">(BV316*$E316*$F316*$G316*$M316)</f>
        <v>0</v>
      </c>
      <c r="BX316" s="182"/>
      <c r="BY316" s="182">
        <f t="shared" ref="BY316:BY317" si="1266">(BX316*$E316*$F316*$G316*$M316)</f>
        <v>0</v>
      </c>
      <c r="BZ316" s="182"/>
      <c r="CA316" s="187">
        <f t="shared" ref="CA316:CA317" si="1267">(BZ316*$E316*$F316*$G316*$M316)</f>
        <v>0</v>
      </c>
      <c r="CB316" s="182"/>
      <c r="CC316" s="182">
        <f t="shared" ref="CC316:CC317" si="1268">(CB316*$E316*$F316*$G316*$L316)</f>
        <v>0</v>
      </c>
      <c r="CD316" s="182"/>
      <c r="CE316" s="183">
        <f t="shared" ref="CE316:CE317" si="1269">(CD316*$E316*$F316*$G316*$L316)</f>
        <v>0</v>
      </c>
      <c r="CF316" s="182"/>
      <c r="CG316" s="182">
        <f t="shared" ref="CG316:CG317" si="1270">(CF316*$E316*$F316*$G316*$L316)</f>
        <v>0</v>
      </c>
      <c r="CH316" s="182"/>
      <c r="CI316" s="182">
        <f t="shared" ref="CI316:CI317" si="1271">(CH316*$E316*$F316*$G316*$M316)</f>
        <v>0</v>
      </c>
      <c r="CJ316" s="182"/>
      <c r="CK316" s="182"/>
      <c r="CL316" s="182"/>
      <c r="CM316" s="182">
        <f t="shared" ref="CM316:CM317" si="1272">(CL316*$E316*$F316*$G316*$L316)</f>
        <v>0</v>
      </c>
      <c r="CN316" s="182"/>
      <c r="CO316" s="182">
        <f t="shared" ref="CO316:CO317" si="1273">(CN316*$E316*$F316*$G316*$L316)</f>
        <v>0</v>
      </c>
      <c r="CP316" s="182"/>
      <c r="CQ316" s="182">
        <f t="shared" ref="CQ316:CQ317" si="1274">(CP316*$E316*$F316*$G316*$L316)</f>
        <v>0</v>
      </c>
      <c r="CR316" s="182"/>
      <c r="CS316" s="182">
        <f t="shared" ref="CS316:CS317" si="1275">(CR316*$E316*$F316*$G316*$L316)</f>
        <v>0</v>
      </c>
      <c r="CT316" s="182"/>
      <c r="CU316" s="182">
        <f t="shared" ref="CU316:CU317" si="1276">(CT316*$E316*$F316*$G316*$L316)</f>
        <v>0</v>
      </c>
      <c r="CV316" s="182"/>
      <c r="CW316" s="182">
        <v>0</v>
      </c>
      <c r="CX316" s="182"/>
      <c r="CY316" s="182">
        <f t="shared" ref="CY316:CY317" si="1277">(CX316*$E316*$F316*$G316*$M316)</f>
        <v>0</v>
      </c>
      <c r="CZ316" s="182"/>
      <c r="DA316" s="182">
        <v>0</v>
      </c>
      <c r="DB316" s="188"/>
      <c r="DC316" s="182">
        <f t="shared" ref="DC316:DC317" si="1278">(DB316*$E316*$F316*$G316*$M316)</f>
        <v>0</v>
      </c>
      <c r="DD316" s="182"/>
      <c r="DE316" s="187">
        <f t="shared" ref="DE316:DE317" si="1279">(DD316*$E316*$F316*$G316*$M316)</f>
        <v>0</v>
      </c>
      <c r="DF316" s="182"/>
      <c r="DG316" s="182"/>
      <c r="DH316" s="189"/>
      <c r="DI316" s="182">
        <f t="shared" ref="DI316:DI317" si="1280">(DH316*$E316*$F316*$G316*$M316)</f>
        <v>0</v>
      </c>
      <c r="DJ316" s="182"/>
      <c r="DK316" s="182">
        <f t="shared" ref="DK316:DK317" si="1281">(DJ316*$E316*$F316*$G316*$M316)</f>
        <v>0</v>
      </c>
      <c r="DL316" s="182"/>
      <c r="DM316" s="182">
        <f t="shared" ref="DM316:DM317" si="1282">(DL316*$E316*$F316*$G316*$N316)</f>
        <v>0</v>
      </c>
      <c r="DN316" s="182"/>
      <c r="DO316" s="187">
        <f t="shared" ref="DO316:DO317" si="1283">(DN316*$E316*$F316*$G316*$O316)</f>
        <v>0</v>
      </c>
      <c r="DP316" s="187"/>
      <c r="DQ316" s="187"/>
      <c r="DR316" s="183">
        <f t="shared" si="1239"/>
        <v>63</v>
      </c>
      <c r="DS316" s="183">
        <f t="shared" si="1239"/>
        <v>6012509.1008000001</v>
      </c>
      <c r="DT316" s="182">
        <v>66</v>
      </c>
      <c r="DU316" s="182">
        <v>6347571.5071999999</v>
      </c>
      <c r="DV316" s="167">
        <f t="shared" si="1035"/>
        <v>-3</v>
      </c>
      <c r="DW316" s="167">
        <f t="shared" si="1035"/>
        <v>-335062.40639999975</v>
      </c>
    </row>
    <row r="317" spans="1:127" ht="45" customHeight="1" x14ac:dyDescent="0.25">
      <c r="A317" s="154"/>
      <c r="B317" s="176">
        <v>274</v>
      </c>
      <c r="C317" s="177" t="s">
        <v>710</v>
      </c>
      <c r="D317" s="210" t="s">
        <v>711</v>
      </c>
      <c r="E317" s="158">
        <v>25969</v>
      </c>
      <c r="F317" s="179">
        <v>4.12</v>
      </c>
      <c r="G317" s="243">
        <v>0.8</v>
      </c>
      <c r="H317" s="242"/>
      <c r="I317" s="242"/>
      <c r="J317" s="242"/>
      <c r="K317" s="106"/>
      <c r="L317" s="180">
        <v>1.4</v>
      </c>
      <c r="M317" s="180">
        <v>1.68</v>
      </c>
      <c r="N317" s="180">
        <v>2.23</v>
      </c>
      <c r="O317" s="181">
        <v>2.57</v>
      </c>
      <c r="P317" s="182">
        <v>57</v>
      </c>
      <c r="Q317" s="182">
        <f t="shared" si="1246"/>
        <v>6830387.1551999999</v>
      </c>
      <c r="R317" s="182"/>
      <c r="S317" s="187">
        <f t="shared" si="1247"/>
        <v>0</v>
      </c>
      <c r="T317" s="182">
        <v>22</v>
      </c>
      <c r="U317" s="182">
        <f t="shared" si="1248"/>
        <v>2636289.7792000002</v>
      </c>
      <c r="V317" s="182"/>
      <c r="W317" s="182">
        <f t="shared" si="1249"/>
        <v>0</v>
      </c>
      <c r="X317" s="182">
        <v>27</v>
      </c>
      <c r="Y317" s="182">
        <v>3235446.5471999999</v>
      </c>
      <c r="Z317" s="182">
        <v>0</v>
      </c>
      <c r="AA317" s="182">
        <v>0</v>
      </c>
      <c r="AB317" s="182">
        <f t="shared" si="1232"/>
        <v>27</v>
      </c>
      <c r="AC317" s="182">
        <f t="shared" si="1232"/>
        <v>3235446.5471999999</v>
      </c>
      <c r="AD317" s="182"/>
      <c r="AE317" s="182">
        <f t="shared" si="1250"/>
        <v>0</v>
      </c>
      <c r="AF317" s="182"/>
      <c r="AG317" s="182"/>
      <c r="AH317" s="182"/>
      <c r="AI317" s="182">
        <f t="shared" si="1251"/>
        <v>0</v>
      </c>
      <c r="AJ317" s="182"/>
      <c r="AK317" s="182"/>
      <c r="AL317" s="182"/>
      <c r="AM317" s="182"/>
      <c r="AN317" s="184"/>
      <c r="AO317" s="182">
        <f t="shared" si="1252"/>
        <v>0</v>
      </c>
      <c r="AP317" s="182"/>
      <c r="AQ317" s="182">
        <f t="shared" si="1253"/>
        <v>0</v>
      </c>
      <c r="AR317" s="182"/>
      <c r="AS317" s="182">
        <f t="shared" si="1254"/>
        <v>0</v>
      </c>
      <c r="AT317" s="182"/>
      <c r="AU317" s="183">
        <f t="shared" si="1255"/>
        <v>0</v>
      </c>
      <c r="AV317" s="188">
        <v>1</v>
      </c>
      <c r="AW317" s="182">
        <v>143797.62</v>
      </c>
      <c r="AX317" s="182"/>
      <c r="AY317" s="187">
        <f t="shared" si="1256"/>
        <v>0</v>
      </c>
      <c r="AZ317" s="182"/>
      <c r="BA317" s="182">
        <f>(AZ317*$E317*$F317*$G317*$L317*$AO$12)</f>
        <v>0</v>
      </c>
      <c r="BB317" s="182">
        <v>0</v>
      </c>
      <c r="BC317" s="182">
        <f t="shared" si="1257"/>
        <v>0</v>
      </c>
      <c r="BD317" s="182"/>
      <c r="BE317" s="182">
        <f>(BD317*$E317*$F317*$G317*$L317*BE$12)</f>
        <v>0</v>
      </c>
      <c r="BF317" s="182"/>
      <c r="BG317" s="182">
        <f t="shared" si="1258"/>
        <v>0</v>
      </c>
      <c r="BH317" s="182"/>
      <c r="BI317" s="182">
        <f t="shared" si="1259"/>
        <v>0</v>
      </c>
      <c r="BJ317" s="182"/>
      <c r="BK317" s="182"/>
      <c r="BL317" s="182"/>
      <c r="BM317" s="182">
        <f t="shared" si="1260"/>
        <v>0</v>
      </c>
      <c r="BN317" s="182"/>
      <c r="BO317" s="182">
        <f t="shared" si="1261"/>
        <v>0</v>
      </c>
      <c r="BP317" s="182"/>
      <c r="BQ317" s="182">
        <f t="shared" si="1262"/>
        <v>0</v>
      </c>
      <c r="BR317" s="182"/>
      <c r="BS317" s="182">
        <f t="shared" si="1263"/>
        <v>0</v>
      </c>
      <c r="BT317" s="182"/>
      <c r="BU317" s="182">
        <f t="shared" si="1264"/>
        <v>0</v>
      </c>
      <c r="BV317" s="182"/>
      <c r="BW317" s="182">
        <f t="shared" si="1265"/>
        <v>0</v>
      </c>
      <c r="BX317" s="182"/>
      <c r="BY317" s="182">
        <f t="shared" si="1266"/>
        <v>0</v>
      </c>
      <c r="BZ317" s="182"/>
      <c r="CA317" s="187">
        <f t="shared" si="1267"/>
        <v>0</v>
      </c>
      <c r="CB317" s="182"/>
      <c r="CC317" s="182">
        <f t="shared" si="1268"/>
        <v>0</v>
      </c>
      <c r="CD317" s="182"/>
      <c r="CE317" s="183">
        <f t="shared" si="1269"/>
        <v>0</v>
      </c>
      <c r="CF317" s="182"/>
      <c r="CG317" s="182">
        <f t="shared" si="1270"/>
        <v>0</v>
      </c>
      <c r="CH317" s="182"/>
      <c r="CI317" s="182">
        <f t="shared" si="1271"/>
        <v>0</v>
      </c>
      <c r="CJ317" s="182"/>
      <c r="CK317" s="182"/>
      <c r="CL317" s="182"/>
      <c r="CM317" s="182">
        <f t="shared" si="1272"/>
        <v>0</v>
      </c>
      <c r="CN317" s="182"/>
      <c r="CO317" s="182">
        <f t="shared" si="1273"/>
        <v>0</v>
      </c>
      <c r="CP317" s="182"/>
      <c r="CQ317" s="182">
        <f t="shared" si="1274"/>
        <v>0</v>
      </c>
      <c r="CR317" s="182"/>
      <c r="CS317" s="182">
        <f t="shared" si="1275"/>
        <v>0</v>
      </c>
      <c r="CT317" s="182"/>
      <c r="CU317" s="182">
        <f t="shared" si="1276"/>
        <v>0</v>
      </c>
      <c r="CV317" s="182"/>
      <c r="CW317" s="182">
        <v>0</v>
      </c>
      <c r="CX317" s="182"/>
      <c r="CY317" s="182">
        <f t="shared" si="1277"/>
        <v>0</v>
      </c>
      <c r="CZ317" s="182"/>
      <c r="DA317" s="182">
        <v>0</v>
      </c>
      <c r="DB317" s="188"/>
      <c r="DC317" s="182">
        <f t="shared" si="1278"/>
        <v>0</v>
      </c>
      <c r="DD317" s="182"/>
      <c r="DE317" s="187">
        <f t="shared" si="1279"/>
        <v>0</v>
      </c>
      <c r="DF317" s="182"/>
      <c r="DG317" s="182"/>
      <c r="DH317" s="189"/>
      <c r="DI317" s="182">
        <f t="shared" si="1280"/>
        <v>0</v>
      </c>
      <c r="DJ317" s="182"/>
      <c r="DK317" s="182">
        <f t="shared" si="1281"/>
        <v>0</v>
      </c>
      <c r="DL317" s="182"/>
      <c r="DM317" s="182">
        <f t="shared" si="1282"/>
        <v>0</v>
      </c>
      <c r="DN317" s="182"/>
      <c r="DO317" s="187">
        <f t="shared" si="1283"/>
        <v>0</v>
      </c>
      <c r="DP317" s="187"/>
      <c r="DQ317" s="187"/>
      <c r="DR317" s="183">
        <f t="shared" si="1239"/>
        <v>107</v>
      </c>
      <c r="DS317" s="183">
        <f t="shared" si="1239"/>
        <v>12845921.101599999</v>
      </c>
      <c r="DT317" s="182">
        <v>108</v>
      </c>
      <c r="DU317" s="182">
        <v>12989718.73024</v>
      </c>
      <c r="DV317" s="167">
        <f t="shared" si="1035"/>
        <v>-1</v>
      </c>
      <c r="DW317" s="167">
        <f t="shared" si="1035"/>
        <v>-143797.62864000164</v>
      </c>
    </row>
    <row r="318" spans="1:127" ht="15.75" customHeight="1" x14ac:dyDescent="0.25">
      <c r="A318" s="170">
        <v>29</v>
      </c>
      <c r="B318" s="197"/>
      <c r="C318" s="198"/>
      <c r="D318" s="211" t="s">
        <v>712</v>
      </c>
      <c r="E318" s="158">
        <v>25969</v>
      </c>
      <c r="F318" s="199">
        <v>1.37</v>
      </c>
      <c r="G318" s="171"/>
      <c r="H318" s="169"/>
      <c r="I318" s="169"/>
      <c r="J318" s="169"/>
      <c r="K318" s="173"/>
      <c r="L318" s="174">
        <v>1.4</v>
      </c>
      <c r="M318" s="174">
        <v>1.68</v>
      </c>
      <c r="N318" s="174">
        <v>2.23</v>
      </c>
      <c r="O318" s="175">
        <v>2.57</v>
      </c>
      <c r="P318" s="166">
        <f t="shared" ref="P318:AD318" si="1284">SUM(P319:P331)</f>
        <v>1282</v>
      </c>
      <c r="Q318" s="166">
        <f t="shared" si="1284"/>
        <v>81497812.575760007</v>
      </c>
      <c r="R318" s="166">
        <f t="shared" ref="R318" si="1285">SUM(R319:R331)</f>
        <v>3650</v>
      </c>
      <c r="S318" s="166">
        <f t="shared" si="1284"/>
        <v>277802380.29040003</v>
      </c>
      <c r="T318" s="166">
        <f t="shared" si="1284"/>
        <v>1023</v>
      </c>
      <c r="U318" s="166">
        <f t="shared" si="1284"/>
        <v>56742809.050549999</v>
      </c>
      <c r="V318" s="166">
        <f t="shared" si="1284"/>
        <v>2</v>
      </c>
      <c r="W318" s="166">
        <f t="shared" si="1284"/>
        <v>91548.809876831991</v>
      </c>
      <c r="X318" s="166">
        <v>1</v>
      </c>
      <c r="Y318" s="166">
        <v>79184.674799999993</v>
      </c>
      <c r="Z318" s="166">
        <v>0</v>
      </c>
      <c r="AA318" s="166">
        <v>0</v>
      </c>
      <c r="AB318" s="166">
        <f t="shared" si="1284"/>
        <v>1</v>
      </c>
      <c r="AC318" s="166">
        <f t="shared" si="1284"/>
        <v>79184.674799999993</v>
      </c>
      <c r="AD318" s="166">
        <f t="shared" si="1284"/>
        <v>0</v>
      </c>
      <c r="AE318" s="166">
        <f t="shared" ref="AE318:CP318" si="1286">SUM(AE319:AE331)</f>
        <v>0</v>
      </c>
      <c r="AF318" s="166">
        <f t="shared" si="1286"/>
        <v>0</v>
      </c>
      <c r="AG318" s="166">
        <f t="shared" si="1286"/>
        <v>0</v>
      </c>
      <c r="AH318" s="166">
        <f t="shared" si="1286"/>
        <v>96</v>
      </c>
      <c r="AI318" s="166">
        <f t="shared" si="1286"/>
        <v>5304246.1569999997</v>
      </c>
      <c r="AJ318" s="166">
        <f>SUM(AJ319:AJ331)</f>
        <v>0</v>
      </c>
      <c r="AK318" s="166">
        <f>SUM(AK319:AK331)</f>
        <v>0</v>
      </c>
      <c r="AL318" s="166">
        <f t="shared" si="1286"/>
        <v>0</v>
      </c>
      <c r="AM318" s="166">
        <f t="shared" si="1286"/>
        <v>0</v>
      </c>
      <c r="AN318" s="166">
        <f t="shared" si="1286"/>
        <v>136</v>
      </c>
      <c r="AO318" s="166">
        <f t="shared" si="1286"/>
        <v>5568422.1293999944</v>
      </c>
      <c r="AP318" s="166">
        <f t="shared" si="1286"/>
        <v>22</v>
      </c>
      <c r="AQ318" s="166">
        <f t="shared" si="1286"/>
        <v>1193369.0384</v>
      </c>
      <c r="AR318" s="166">
        <f t="shared" si="1286"/>
        <v>98</v>
      </c>
      <c r="AS318" s="166">
        <f t="shared" si="1286"/>
        <v>5605131.9667520337</v>
      </c>
      <c r="AT318" s="166">
        <f t="shared" si="1286"/>
        <v>1503</v>
      </c>
      <c r="AU318" s="166">
        <f t="shared" si="1286"/>
        <v>110403231.89025107</v>
      </c>
      <c r="AV318" s="166">
        <f t="shared" si="1286"/>
        <v>0</v>
      </c>
      <c r="AW318" s="166">
        <f t="shared" si="1286"/>
        <v>0</v>
      </c>
      <c r="AX318" s="166">
        <f t="shared" si="1286"/>
        <v>4</v>
      </c>
      <c r="AY318" s="166">
        <f t="shared" si="1286"/>
        <v>214038.57552000001</v>
      </c>
      <c r="AZ318" s="166">
        <f t="shared" si="1286"/>
        <v>0</v>
      </c>
      <c r="BA318" s="166">
        <f t="shared" si="1286"/>
        <v>0</v>
      </c>
      <c r="BB318" s="166">
        <f t="shared" si="1286"/>
        <v>0</v>
      </c>
      <c r="BC318" s="166">
        <f t="shared" si="1286"/>
        <v>0</v>
      </c>
      <c r="BD318" s="166">
        <f t="shared" si="1286"/>
        <v>0</v>
      </c>
      <c r="BE318" s="166">
        <f t="shared" si="1286"/>
        <v>0</v>
      </c>
      <c r="BF318" s="166">
        <f t="shared" si="1286"/>
        <v>0</v>
      </c>
      <c r="BG318" s="166">
        <f t="shared" si="1286"/>
        <v>0</v>
      </c>
      <c r="BH318" s="166">
        <f t="shared" si="1286"/>
        <v>0</v>
      </c>
      <c r="BI318" s="166">
        <f t="shared" si="1286"/>
        <v>0</v>
      </c>
      <c r="BJ318" s="166">
        <f t="shared" si="1286"/>
        <v>0</v>
      </c>
      <c r="BK318" s="166">
        <f t="shared" si="1286"/>
        <v>0</v>
      </c>
      <c r="BL318" s="166">
        <f t="shared" si="1286"/>
        <v>0</v>
      </c>
      <c r="BM318" s="166">
        <f t="shared" si="1286"/>
        <v>0</v>
      </c>
      <c r="BN318" s="166">
        <f t="shared" si="1286"/>
        <v>597</v>
      </c>
      <c r="BO318" s="166">
        <f t="shared" si="1286"/>
        <v>43904215.617359996</v>
      </c>
      <c r="BP318" s="166">
        <f t="shared" si="1286"/>
        <v>0</v>
      </c>
      <c r="BQ318" s="166">
        <f t="shared" si="1286"/>
        <v>0</v>
      </c>
      <c r="BR318" s="166">
        <f t="shared" si="1286"/>
        <v>0</v>
      </c>
      <c r="BS318" s="166">
        <f t="shared" si="1286"/>
        <v>0</v>
      </c>
      <c r="BT318" s="166">
        <f t="shared" si="1286"/>
        <v>125</v>
      </c>
      <c r="BU318" s="166">
        <f t="shared" si="1286"/>
        <v>5835914.8187668603</v>
      </c>
      <c r="BV318" s="166">
        <f t="shared" si="1286"/>
        <v>13</v>
      </c>
      <c r="BW318" s="166">
        <f t="shared" si="1286"/>
        <v>464201.06880000001</v>
      </c>
      <c r="BX318" s="166">
        <f t="shared" si="1286"/>
        <v>73</v>
      </c>
      <c r="BY318" s="166">
        <f t="shared" si="1286"/>
        <v>4086646.2532707839</v>
      </c>
      <c r="BZ318" s="166">
        <f t="shared" si="1286"/>
        <v>191</v>
      </c>
      <c r="CA318" s="166">
        <f t="shared" si="1286"/>
        <v>10818562.09762986</v>
      </c>
      <c r="CB318" s="166">
        <f t="shared" si="1286"/>
        <v>0</v>
      </c>
      <c r="CC318" s="166">
        <f t="shared" si="1286"/>
        <v>0</v>
      </c>
      <c r="CD318" s="166">
        <f t="shared" si="1286"/>
        <v>0</v>
      </c>
      <c r="CE318" s="166">
        <f t="shared" si="1286"/>
        <v>0</v>
      </c>
      <c r="CF318" s="166">
        <f t="shared" si="1286"/>
        <v>0</v>
      </c>
      <c r="CG318" s="166">
        <f t="shared" si="1286"/>
        <v>0</v>
      </c>
      <c r="CH318" s="166">
        <f t="shared" si="1286"/>
        <v>16</v>
      </c>
      <c r="CI318" s="166">
        <f t="shared" si="1286"/>
        <v>908125.54915194004</v>
      </c>
      <c r="CJ318" s="166">
        <f t="shared" si="1286"/>
        <v>0</v>
      </c>
      <c r="CK318" s="166">
        <f t="shared" si="1286"/>
        <v>0</v>
      </c>
      <c r="CL318" s="166">
        <f t="shared" si="1286"/>
        <v>0</v>
      </c>
      <c r="CM318" s="166">
        <f t="shared" si="1286"/>
        <v>0</v>
      </c>
      <c r="CN318" s="166">
        <f t="shared" si="1286"/>
        <v>16</v>
      </c>
      <c r="CO318" s="166">
        <f t="shared" si="1286"/>
        <v>620679.87520000013</v>
      </c>
      <c r="CP318" s="166">
        <f t="shared" si="1286"/>
        <v>38</v>
      </c>
      <c r="CQ318" s="166">
        <f t="shared" ref="CQ318:DQ318" si="1287">SUM(CQ319:CQ331)</f>
        <v>1633622.2183769599</v>
      </c>
      <c r="CR318" s="166">
        <f t="shared" si="1287"/>
        <v>82</v>
      </c>
      <c r="CS318" s="166">
        <f t="shared" si="1287"/>
        <v>3572446.7638254734</v>
      </c>
      <c r="CT318" s="166">
        <f t="shared" si="1287"/>
        <v>97</v>
      </c>
      <c r="CU318" s="166">
        <f t="shared" si="1287"/>
        <v>4084456.7083024592</v>
      </c>
      <c r="CV318" s="166">
        <f t="shared" si="1287"/>
        <v>247</v>
      </c>
      <c r="CW318" s="166">
        <v>14237033.790000003</v>
      </c>
      <c r="CX318" s="166">
        <f t="shared" si="1287"/>
        <v>76</v>
      </c>
      <c r="CY318" s="166">
        <f t="shared" si="1287"/>
        <v>4755443.4937768076</v>
      </c>
      <c r="CZ318" s="166">
        <f t="shared" si="1287"/>
        <v>1</v>
      </c>
      <c r="DA318" s="166">
        <v>62824.2</v>
      </c>
      <c r="DB318" s="166">
        <f t="shared" si="1287"/>
        <v>0</v>
      </c>
      <c r="DC318" s="166">
        <f t="shared" si="1287"/>
        <v>0</v>
      </c>
      <c r="DD318" s="166">
        <f t="shared" si="1287"/>
        <v>0</v>
      </c>
      <c r="DE318" s="166">
        <f t="shared" si="1287"/>
        <v>0</v>
      </c>
      <c r="DF318" s="166">
        <f t="shared" si="1287"/>
        <v>0</v>
      </c>
      <c r="DG318" s="166">
        <f t="shared" si="1287"/>
        <v>0</v>
      </c>
      <c r="DH318" s="166">
        <f t="shared" si="1287"/>
        <v>10</v>
      </c>
      <c r="DI318" s="166">
        <f t="shared" si="1287"/>
        <v>300596.36880000005</v>
      </c>
      <c r="DJ318" s="166">
        <f t="shared" si="1287"/>
        <v>26</v>
      </c>
      <c r="DK318" s="166">
        <f t="shared" si="1287"/>
        <v>1207823.8044977998</v>
      </c>
      <c r="DL318" s="166">
        <f t="shared" si="1287"/>
        <v>16</v>
      </c>
      <c r="DM318" s="166">
        <f t="shared" si="1287"/>
        <v>602273.04799999995</v>
      </c>
      <c r="DN318" s="166">
        <f t="shared" si="1287"/>
        <v>26</v>
      </c>
      <c r="DO318" s="166">
        <f t="shared" si="1287"/>
        <v>1961231.3373799999</v>
      </c>
      <c r="DP318" s="166">
        <f t="shared" si="1287"/>
        <v>0</v>
      </c>
      <c r="DQ318" s="166">
        <f t="shared" si="1287"/>
        <v>0</v>
      </c>
      <c r="DR318" s="166">
        <f>SUM(DR319:DR331)</f>
        <v>9467</v>
      </c>
      <c r="DS318" s="166">
        <f t="shared" ref="DS318" si="1288">SUM(DS319:DS331)</f>
        <v>643558272.17184877</v>
      </c>
      <c r="DT318" s="166">
        <v>9365</v>
      </c>
      <c r="DU318" s="166">
        <v>627263674.15620995</v>
      </c>
      <c r="DV318" s="167">
        <f t="shared" si="1035"/>
        <v>102</v>
      </c>
      <c r="DW318" s="167">
        <f t="shared" si="1035"/>
        <v>16294598.015638828</v>
      </c>
    </row>
    <row r="319" spans="1:127" ht="30" customHeight="1" x14ac:dyDescent="0.25">
      <c r="A319" s="154"/>
      <c r="B319" s="176">
        <v>275</v>
      </c>
      <c r="C319" s="177" t="s">
        <v>713</v>
      </c>
      <c r="D319" s="210" t="s">
        <v>714</v>
      </c>
      <c r="E319" s="158">
        <v>25969</v>
      </c>
      <c r="F319" s="179">
        <v>0.99</v>
      </c>
      <c r="G319" s="168">
        <v>1</v>
      </c>
      <c r="H319" s="169"/>
      <c r="I319" s="169"/>
      <c r="J319" s="169"/>
      <c r="K319" s="106"/>
      <c r="L319" s="180">
        <v>1.4</v>
      </c>
      <c r="M319" s="180">
        <v>1.68</v>
      </c>
      <c r="N319" s="180">
        <v>2.23</v>
      </c>
      <c r="O319" s="181">
        <v>2.57</v>
      </c>
      <c r="P319" s="182">
        <v>4</v>
      </c>
      <c r="Q319" s="182">
        <f>(P319*$E319*$F319*$G319*$L319*$Q$12)</f>
        <v>158369.34960000002</v>
      </c>
      <c r="R319" s="182">
        <v>24</v>
      </c>
      <c r="S319" s="182">
        <f>(R319*$E319*$F319*$G319*$L319*$S$12)</f>
        <v>950216.09759999998</v>
      </c>
      <c r="T319" s="182">
        <v>111</v>
      </c>
      <c r="U319" s="182">
        <f t="shared" ref="U319" si="1289">(T319/12*11*$E319*$F319*$G319*$L319*$U$12)+(T319/12*1*$E319*$F319*$G319*$L319*$U$14)</f>
        <v>5043973.8021749994</v>
      </c>
      <c r="V319" s="182">
        <v>2</v>
      </c>
      <c r="W319" s="183">
        <f>(V319*$E319*$F319*$G319*$L319*$W$12)/12*10+(V319*$E319*$F319*$G319*$L319*$W$13)/12*1+(V319*$E319*$F319*$G319*$L319*$W$14*$W$15)/12*1</f>
        <v>91548.809876831991</v>
      </c>
      <c r="X319" s="183"/>
      <c r="Y319" s="183">
        <v>0</v>
      </c>
      <c r="Z319" s="183"/>
      <c r="AA319" s="183">
        <v>0</v>
      </c>
      <c r="AB319" s="182">
        <f>X319+Z319</f>
        <v>0</v>
      </c>
      <c r="AC319" s="182">
        <f>Y319+AA319</f>
        <v>0</v>
      </c>
      <c r="AD319" s="182"/>
      <c r="AE319" s="182">
        <f>(AD319*$E319*$F319*$G319*$L319*$AE$12)</f>
        <v>0</v>
      </c>
      <c r="AF319" s="182"/>
      <c r="AG319" s="182"/>
      <c r="AH319" s="182">
        <v>2</v>
      </c>
      <c r="AI319" s="182">
        <f>(AH319*$E319*$F319*$G319*$L319*$AI$12)</f>
        <v>79184.674800000008</v>
      </c>
      <c r="AJ319" s="182"/>
      <c r="AK319" s="182"/>
      <c r="AL319" s="182"/>
      <c r="AM319" s="182"/>
      <c r="AN319" s="182"/>
      <c r="AO319" s="182">
        <f>(AN319*$E319*$F319*$G319*$L319*$AO$12)</f>
        <v>0</v>
      </c>
      <c r="AP319" s="182"/>
      <c r="AQ319" s="183">
        <f>(AP319*$E319*$F319*$G319*$L319*$AQ$12)</f>
        <v>0</v>
      </c>
      <c r="AR319" s="182"/>
      <c r="AS319" s="182">
        <f>(AR319*$E319*$F319*$G319*$L319*$AS$12)/12*10+(AR319*$E319*$F319*$G319*$L319*$AS$13)/12*1+(AR319*$E319*$F319*$G319*$L319*$AS$14)/12*1</f>
        <v>0</v>
      </c>
      <c r="AT319" s="182">
        <v>13</v>
      </c>
      <c r="AU319" s="182">
        <f>(AT319*$E319*$F319*$G319*$M319*$AU$12)/12*10+(AT319*$E319*$F319*$G319*$M319*$AU$13)/12+(AT319*$E319*$F319*$G319*$M319*$AU$14*$AU$15)/12</f>
        <v>647062.32840729482</v>
      </c>
      <c r="AV319" s="186"/>
      <c r="AW319" s="182">
        <f>(AV319*$E319*$F319*$G319*$M319*$AW$12)</f>
        <v>0</v>
      </c>
      <c r="AX319" s="182"/>
      <c r="AY319" s="187">
        <f>(AX319*$E319*$F319*$G319*$M319*$AY$12)</f>
        <v>0</v>
      </c>
      <c r="AZ319" s="182"/>
      <c r="BA319" s="182">
        <f>(AZ319*$E319*$F319*$G319*$L319*$BA$12)</f>
        <v>0</v>
      </c>
      <c r="BB319" s="182">
        <v>0</v>
      </c>
      <c r="BC319" s="182">
        <f>(BB319*$E319*$F319*$G319*$L319*$BC$12)</f>
        <v>0</v>
      </c>
      <c r="BD319" s="182"/>
      <c r="BE319" s="182">
        <f>(BD319*$E319*$F319*$G319*$L319*$BE$12)</f>
        <v>0</v>
      </c>
      <c r="BF319" s="182"/>
      <c r="BG319" s="182">
        <f>(BF319*$E319*$F319*$G319*$L319*$BG$12)</f>
        <v>0</v>
      </c>
      <c r="BH319" s="182"/>
      <c r="BI319" s="183">
        <f>(BH319*$E319*$F319*$G319*$L319*$BI$12)</f>
        <v>0</v>
      </c>
      <c r="BJ319" s="182"/>
      <c r="BK319" s="183">
        <f>(BJ319*$E319*$F319*$G319*$L319*$BK$12)</f>
        <v>0</v>
      </c>
      <c r="BL319" s="182"/>
      <c r="BM319" s="182">
        <f>(BL319*$E319*$F319*$G319*$L319*$BM$12)</f>
        <v>0</v>
      </c>
      <c r="BN319" s="182"/>
      <c r="BO319" s="182">
        <f>(BN319*$E319*$F319*$G319*$M319*$BO$12)</f>
        <v>0</v>
      </c>
      <c r="BP319" s="182"/>
      <c r="BQ319" s="182">
        <f>(BP319*$E319*$F319*$G319*$M319*$BQ$12)</f>
        <v>0</v>
      </c>
      <c r="BR319" s="182"/>
      <c r="BS319" s="183">
        <f>(BR319*$E319*$F319*$G319*$M319*$BS$12)</f>
        <v>0</v>
      </c>
      <c r="BT319" s="182"/>
      <c r="BU319" s="182">
        <f>(BT319*$E319*$F319*$G319*$M319*$BU$12)</f>
        <v>0</v>
      </c>
      <c r="BV319" s="182"/>
      <c r="BW319" s="182">
        <f>(BV319*$E319*$F319*$G319*$M319*$BW$12)</f>
        <v>0</v>
      </c>
      <c r="BX319" s="182"/>
      <c r="BY319" s="183">
        <f>(BX319*$E319*$F319*$G319*$M319*$BY$12)</f>
        <v>0</v>
      </c>
      <c r="BZ319" s="182"/>
      <c r="CA319" s="187">
        <f>(BZ319*$E319*$F319*$G319*$M319*$CA$12)</f>
        <v>0</v>
      </c>
      <c r="CB319" s="182"/>
      <c r="CC319" s="182">
        <f>(CB319*$E319*$F319*$G319*$L319*$CC$12)</f>
        <v>0</v>
      </c>
      <c r="CD319" s="182"/>
      <c r="CE319" s="182">
        <f>(CD319*$E319*$F319*$G319*$L319*$CE$12)</f>
        <v>0</v>
      </c>
      <c r="CF319" s="182"/>
      <c r="CG319" s="182">
        <f>(CF319*$E319*$F319*$G319*$L319*$CG$12)</f>
        <v>0</v>
      </c>
      <c r="CH319" s="182">
        <v>1</v>
      </c>
      <c r="CI319" s="182">
        <f t="shared" ref="CI319" si="1290">(CH319*$E319*$F319*$G319*$M319*$CI$12)/12*11+(CH319*$E319*$F319*$G319*$M319*$CI$12*$CI$15)/12</f>
        <v>48134.276214948004</v>
      </c>
      <c r="CJ319" s="182"/>
      <c r="CK319" s="182"/>
      <c r="CL319" s="182"/>
      <c r="CM319" s="183">
        <f>(CL319*$E319*$F319*$G319*$L319*$CM$12)</f>
        <v>0</v>
      </c>
      <c r="CN319" s="182"/>
      <c r="CO319" s="183">
        <f>(CN319*$E319*$F319*$G319*$L319*$CO$12)</f>
        <v>0</v>
      </c>
      <c r="CP319" s="182"/>
      <c r="CQ319" s="182">
        <f>(CP319*$E319*$F319*$G319*$L319*$CQ$12)</f>
        <v>0</v>
      </c>
      <c r="CR319" s="182"/>
      <c r="CS319" s="182">
        <f>(CR319*$E319*$F319*$G319*$L319*$CS$12)</f>
        <v>0</v>
      </c>
      <c r="CT319" s="182"/>
      <c r="CU319" s="182">
        <f>(CT319*$E319*$F319*$G319*$L319*$CU$12)</f>
        <v>0</v>
      </c>
      <c r="CV319" s="182"/>
      <c r="CW319" s="182">
        <v>0</v>
      </c>
      <c r="CX319" s="182"/>
      <c r="CY319" s="182">
        <f>(CX319*$E319*$F319*$G319*$M319*$CY$12)</f>
        <v>0</v>
      </c>
      <c r="CZ319" s="182"/>
      <c r="DA319" s="182">
        <v>0</v>
      </c>
      <c r="DB319" s="188"/>
      <c r="DC319" s="182">
        <f>(DB319*$E319*$F319*$G319*$M319*$DC$12)</f>
        <v>0</v>
      </c>
      <c r="DD319" s="182"/>
      <c r="DE319" s="187"/>
      <c r="DF319" s="182"/>
      <c r="DG319" s="182">
        <f>(DF319*$E319*$F319*$G319*$M319*$DG$12)</f>
        <v>0</v>
      </c>
      <c r="DH319" s="189"/>
      <c r="DI319" s="182">
        <f>(DH319*$E319*$F319*$G319*$M319*$DI$12)</f>
        <v>0</v>
      </c>
      <c r="DJ319" s="182"/>
      <c r="DK319" s="182">
        <f>(DJ319*$E319*$F319*$G319*$M319*$DK$12)</f>
        <v>0</v>
      </c>
      <c r="DL319" s="182"/>
      <c r="DM319" s="182">
        <f>(DL319*$E319*$F319*$G319*$N319*$DM$12)</f>
        <v>0</v>
      </c>
      <c r="DN319" s="182"/>
      <c r="DO319" s="190">
        <f>(DN319*$E319*$F319*$G319*$O319*$DO$12)</f>
        <v>0</v>
      </c>
      <c r="DP319" s="187"/>
      <c r="DQ319" s="187"/>
      <c r="DR319" s="183">
        <f t="shared" ref="DR319:DS331" si="1291">SUM(P319,R319,T319,V319,AB319,AJ319,AD319,AF319,AH319,AL319,AN319,AP319,AV319,AZ319,BB319,CF319,AR319,BF319,BH319,BJ319,CT319,BL319,BN319,AT319,BR319,AX319,CV319,BT319,CX319,BV319,BX319,BZ319,CH319,CB319,CD319,CJ319,CL319,CN319,CP319,CR319,CZ319,DB319,BP319,BD319,DD319,DF319,DH319,DJ319,DL319,DN319,DP319)</f>
        <v>157</v>
      </c>
      <c r="DS319" s="183">
        <f t="shared" si="1291"/>
        <v>7018489.338674075</v>
      </c>
      <c r="DT319" s="182">
        <v>154</v>
      </c>
      <c r="DU319" s="182">
        <v>6823679.3625000007</v>
      </c>
      <c r="DV319" s="167">
        <f t="shared" si="1035"/>
        <v>3</v>
      </c>
      <c r="DW319" s="167">
        <f t="shared" si="1035"/>
        <v>194809.97617407423</v>
      </c>
    </row>
    <row r="320" spans="1:127" ht="34.5" customHeight="1" x14ac:dyDescent="0.25">
      <c r="A320" s="154"/>
      <c r="B320" s="176">
        <v>276</v>
      </c>
      <c r="C320" s="177" t="s">
        <v>715</v>
      </c>
      <c r="D320" s="210" t="s">
        <v>716</v>
      </c>
      <c r="E320" s="158">
        <v>25969</v>
      </c>
      <c r="F320" s="179">
        <v>1.52</v>
      </c>
      <c r="G320" s="168">
        <v>1</v>
      </c>
      <c r="H320" s="169"/>
      <c r="I320" s="169"/>
      <c r="J320" s="169"/>
      <c r="K320" s="106"/>
      <c r="L320" s="180">
        <v>1.4</v>
      </c>
      <c r="M320" s="180">
        <v>1.68</v>
      </c>
      <c r="N320" s="180">
        <v>2.23</v>
      </c>
      <c r="O320" s="181">
        <v>2.57</v>
      </c>
      <c r="P320" s="182">
        <v>50</v>
      </c>
      <c r="Q320" s="182">
        <f t="shared" ref="Q320:Q323" si="1292">(P320*$E320*$F320*$G320*$L320)</f>
        <v>2763101.5999999996</v>
      </c>
      <c r="R320" s="182">
        <v>70</v>
      </c>
      <c r="S320" s="187">
        <f t="shared" ref="S320:S323" si="1293">(R320*$E320*$F320*$G320*$L320)</f>
        <v>3868342.2399999998</v>
      </c>
      <c r="T320" s="182">
        <v>7</v>
      </c>
      <c r="U320" s="182">
        <f t="shared" ref="U320:U323" si="1294">(T320*$E320*$F320*$G320*$L320)</f>
        <v>386834.22399999993</v>
      </c>
      <c r="V320" s="182"/>
      <c r="W320" s="182">
        <f t="shared" ref="W320:W323" si="1295">(V320*$E320*$F320*$G320*$L320)</f>
        <v>0</v>
      </c>
      <c r="X320" s="182"/>
      <c r="Y320" s="182">
        <v>0</v>
      </c>
      <c r="Z320" s="182"/>
      <c r="AA320" s="182">
        <v>0</v>
      </c>
      <c r="AB320" s="182">
        <f t="shared" ref="AB320:AC331" si="1296">X320+Z320</f>
        <v>0</v>
      </c>
      <c r="AC320" s="182">
        <f t="shared" si="1296"/>
        <v>0</v>
      </c>
      <c r="AD320" s="182"/>
      <c r="AE320" s="182">
        <f t="shared" ref="AE320:AE323" si="1297">(AD320*$E320*$F320*$G320*$L320)</f>
        <v>0</v>
      </c>
      <c r="AF320" s="182"/>
      <c r="AG320" s="182"/>
      <c r="AH320" s="182"/>
      <c r="AI320" s="182">
        <f t="shared" ref="AI320:AI323" si="1298">(AH320*$E320*$F320*$G320*$L320)</f>
        <v>0</v>
      </c>
      <c r="AJ320" s="182"/>
      <c r="AK320" s="182"/>
      <c r="AL320" s="182"/>
      <c r="AM320" s="182"/>
      <c r="AN320" s="182"/>
      <c r="AO320" s="182">
        <f t="shared" ref="AO320:AO323" si="1299">(AN320*$E320*$F320*$G320*$L320)</f>
        <v>0</v>
      </c>
      <c r="AP320" s="182"/>
      <c r="AQ320" s="182">
        <f t="shared" ref="AQ320:AQ323" si="1300">(AP320*$E320*$F320*$G320*$L320)</f>
        <v>0</v>
      </c>
      <c r="AR320" s="182"/>
      <c r="AS320" s="182">
        <f t="shared" ref="AS320:AS323" si="1301">(AR320*$E320*$F320*$G320*$L320)</f>
        <v>0</v>
      </c>
      <c r="AT320" s="182">
        <f>70-5</f>
        <v>65</v>
      </c>
      <c r="AU320" s="183">
        <f t="shared" ref="AU320:AU323" si="1302">(AT320*$E320*$F320*$G320*$M320)</f>
        <v>4310438.4960000003</v>
      </c>
      <c r="AV320" s="188"/>
      <c r="AW320" s="182">
        <f t="shared" ref="AW320:AW323" si="1303">(AV320*$E320*$F320*$G320*$M320)</f>
        <v>0</v>
      </c>
      <c r="AX320" s="182"/>
      <c r="AY320" s="187">
        <f t="shared" ref="AY320:AY323" si="1304">(AX320*$E320*$F320*$G320*$M320)</f>
        <v>0</v>
      </c>
      <c r="AZ320" s="182"/>
      <c r="BA320" s="182">
        <f>(AZ320*$E320*$F320*$G320*$L320*$AO$12)</f>
        <v>0</v>
      </c>
      <c r="BB320" s="182">
        <v>0</v>
      </c>
      <c r="BC320" s="182">
        <f t="shared" ref="BC320:BC323" si="1305">(BB320*$E320*$F320*$G320*$L320*BC$12)</f>
        <v>0</v>
      </c>
      <c r="BD320" s="182"/>
      <c r="BE320" s="182">
        <f>(BD320*$E320*$F320*$G320*$L320*BE$12)</f>
        <v>0</v>
      </c>
      <c r="BF320" s="182"/>
      <c r="BG320" s="182">
        <f t="shared" ref="BG320:BG323" si="1306">(BF320*$E320*$F320*$G320*$L320)</f>
        <v>0</v>
      </c>
      <c r="BH320" s="182"/>
      <c r="BI320" s="182">
        <f t="shared" ref="BI320:BI323" si="1307">(BH320*$E320*$F320*$G320*$L320)</f>
        <v>0</v>
      </c>
      <c r="BJ320" s="182"/>
      <c r="BK320" s="182"/>
      <c r="BL320" s="182"/>
      <c r="BM320" s="182">
        <f t="shared" ref="BM320:BM323" si="1308">(BL320*$E320*$F320*$G320*$L320)</f>
        <v>0</v>
      </c>
      <c r="BN320" s="182">
        <v>60</v>
      </c>
      <c r="BO320" s="182">
        <f t="shared" ref="BO320:BO323" si="1309">(BN320*$E320*$F320*$G320*$M320)</f>
        <v>3978866.3039999995</v>
      </c>
      <c r="BP320" s="182"/>
      <c r="BQ320" s="182">
        <f t="shared" ref="BQ320:BQ323" si="1310">(BP320*$E320*$F320*$G320*$M320)</f>
        <v>0</v>
      </c>
      <c r="BR320" s="182"/>
      <c r="BS320" s="182">
        <f t="shared" ref="BS320:BS323" si="1311">(BR320*$E320*$F320*$G320*$M320)</f>
        <v>0</v>
      </c>
      <c r="BT320" s="182">
        <v>20</v>
      </c>
      <c r="BU320" s="182">
        <f t="shared" ref="BU320:BU323" si="1312">(BT320*$E320*$F320*$G320*$M320)</f>
        <v>1326288.7679999999</v>
      </c>
      <c r="BV320" s="182">
        <v>2</v>
      </c>
      <c r="BW320" s="182">
        <f t="shared" ref="BW320:BW323" si="1313">(BV320*$E320*$F320*$G320*$M320)</f>
        <v>132628.8768</v>
      </c>
      <c r="BX320" s="182">
        <v>10</v>
      </c>
      <c r="BY320" s="182">
        <f t="shared" ref="BY320:BY323" si="1314">(BX320*$E320*$F320*$G320*$M320)</f>
        <v>663144.38399999996</v>
      </c>
      <c r="BZ320" s="182">
        <v>20</v>
      </c>
      <c r="CA320" s="187">
        <f t="shared" ref="CA320:CA323" si="1315">(BZ320*$E320*$F320*$G320*$M320)</f>
        <v>1326288.7679999999</v>
      </c>
      <c r="CB320" s="182"/>
      <c r="CC320" s="182">
        <f t="shared" ref="CC320:CC323" si="1316">(CB320*$E320*$F320*$G320*$L320)</f>
        <v>0</v>
      </c>
      <c r="CD320" s="182"/>
      <c r="CE320" s="183">
        <f t="shared" ref="CE320:CE323" si="1317">(CD320*$E320*$F320*$G320*$L320)</f>
        <v>0</v>
      </c>
      <c r="CF320" s="182"/>
      <c r="CG320" s="182">
        <f t="shared" ref="CG320:CG323" si="1318">(CF320*$E320*$F320*$G320*$L320)</f>
        <v>0</v>
      </c>
      <c r="CH320" s="182">
        <v>2</v>
      </c>
      <c r="CI320" s="182">
        <f t="shared" ref="CI320:CI323" si="1319">(CH320*$E320*$F320*$G320*$M320)</f>
        <v>132628.8768</v>
      </c>
      <c r="CJ320" s="182"/>
      <c r="CK320" s="182"/>
      <c r="CL320" s="182"/>
      <c r="CM320" s="182">
        <f t="shared" ref="CM320:CM323" si="1320">(CL320*$E320*$F320*$G320*$L320)</f>
        <v>0</v>
      </c>
      <c r="CN320" s="182"/>
      <c r="CO320" s="182">
        <f t="shared" ref="CO320:CO323" si="1321">(CN320*$E320*$F320*$G320*$L320)</f>
        <v>0</v>
      </c>
      <c r="CP320" s="182">
        <v>5</v>
      </c>
      <c r="CQ320" s="182">
        <f t="shared" ref="CQ320:CQ323" si="1322">(CP320*$E320*$F320*$G320*$L320)</f>
        <v>276310.15999999997</v>
      </c>
      <c r="CR320" s="182">
        <v>14</v>
      </c>
      <c r="CS320" s="182">
        <f t="shared" ref="CS320:CS323" si="1323">(CR320*$E320*$F320*$G320*$L320)</f>
        <v>773668.44799999986</v>
      </c>
      <c r="CT320" s="182">
        <v>11</v>
      </c>
      <c r="CU320" s="182">
        <f t="shared" ref="CU320:CU323" si="1324">(CT320*$E320*$F320*$G320*$L320)</f>
        <v>607882.35199999996</v>
      </c>
      <c r="CV320" s="182">
        <v>33</v>
      </c>
      <c r="CW320" s="182">
        <v>2188376.5199999986</v>
      </c>
      <c r="CX320" s="182">
        <v>12</v>
      </c>
      <c r="CY320" s="182">
        <f t="shared" ref="CY320:CY323" si="1325">(CX320*$E320*$F320*$G320*$M320)</f>
        <v>795773.26079999993</v>
      </c>
      <c r="CZ320" s="182"/>
      <c r="DA320" s="182">
        <v>0</v>
      </c>
      <c r="DB320" s="188"/>
      <c r="DC320" s="182">
        <f t="shared" ref="DC320:DC323" si="1326">(DB320*$E320*$F320*$G320*$M320)</f>
        <v>0</v>
      </c>
      <c r="DD320" s="182"/>
      <c r="DE320" s="187">
        <f t="shared" ref="DE320:DE323" si="1327">(DD320*$E320*$F320*$G320*$M320)</f>
        <v>0</v>
      </c>
      <c r="DF320" s="182"/>
      <c r="DG320" s="182"/>
      <c r="DH320" s="189"/>
      <c r="DI320" s="182">
        <f t="shared" ref="DI320:DI321" si="1328">(DH320*$E320*$F320*$G320*$M320)</f>
        <v>0</v>
      </c>
      <c r="DJ320" s="182">
        <v>5</v>
      </c>
      <c r="DK320" s="182">
        <f t="shared" ref="DK320:DK323" si="1329">(DJ320*$E320*$F320*$G320*$M320)</f>
        <v>331572.19199999998</v>
      </c>
      <c r="DL320" s="182"/>
      <c r="DM320" s="182">
        <f t="shared" ref="DM320:DM323" si="1330">(DL320*$E320*$F320*$G320*$N320)</f>
        <v>0</v>
      </c>
      <c r="DN320" s="182">
        <f>ROUND(2*0.75,0)</f>
        <v>2</v>
      </c>
      <c r="DO320" s="187">
        <f t="shared" ref="DO320:DO323" si="1331">(DN320*$E320*$F320*$G320*$O320)</f>
        <v>202890.60319999998</v>
      </c>
      <c r="DP320" s="187"/>
      <c r="DQ320" s="187"/>
      <c r="DR320" s="183">
        <f t="shared" si="1291"/>
        <v>388</v>
      </c>
      <c r="DS320" s="183">
        <f t="shared" si="1291"/>
        <v>24065036.073599998</v>
      </c>
      <c r="DT320" s="182">
        <v>378</v>
      </c>
      <c r="DU320" s="182">
        <v>23512415.753599998</v>
      </c>
      <c r="DV320" s="167">
        <f t="shared" si="1035"/>
        <v>10</v>
      </c>
      <c r="DW320" s="167">
        <f t="shared" si="1035"/>
        <v>552620.3200000003</v>
      </c>
    </row>
    <row r="321" spans="1:127" ht="34.5" customHeight="1" x14ac:dyDescent="0.25">
      <c r="A321" s="154"/>
      <c r="B321" s="176">
        <v>277</v>
      </c>
      <c r="C321" s="177" t="s">
        <v>717</v>
      </c>
      <c r="D321" s="210" t="s">
        <v>718</v>
      </c>
      <c r="E321" s="158">
        <v>25969</v>
      </c>
      <c r="F321" s="179">
        <v>0.69</v>
      </c>
      <c r="G321" s="168">
        <v>1</v>
      </c>
      <c r="H321" s="169"/>
      <c r="I321" s="169"/>
      <c r="J321" s="169"/>
      <c r="K321" s="106"/>
      <c r="L321" s="180">
        <v>1.4</v>
      </c>
      <c r="M321" s="180">
        <v>1.68</v>
      </c>
      <c r="N321" s="180">
        <v>2.23</v>
      </c>
      <c r="O321" s="181">
        <v>2.57</v>
      </c>
      <c r="P321" s="182">
        <v>0</v>
      </c>
      <c r="Q321" s="182">
        <f t="shared" si="1292"/>
        <v>0</v>
      </c>
      <c r="R321" s="182">
        <v>9</v>
      </c>
      <c r="S321" s="187">
        <f t="shared" si="1293"/>
        <v>225774.48599999998</v>
      </c>
      <c r="T321" s="182">
        <v>19</v>
      </c>
      <c r="U321" s="182">
        <f t="shared" si="1294"/>
        <v>476635.0259999999</v>
      </c>
      <c r="V321" s="182"/>
      <c r="W321" s="182">
        <f t="shared" si="1295"/>
        <v>0</v>
      </c>
      <c r="X321" s="182"/>
      <c r="Y321" s="182">
        <v>0</v>
      </c>
      <c r="Z321" s="182"/>
      <c r="AA321" s="182">
        <v>0</v>
      </c>
      <c r="AB321" s="182">
        <f t="shared" si="1296"/>
        <v>0</v>
      </c>
      <c r="AC321" s="182">
        <f t="shared" si="1296"/>
        <v>0</v>
      </c>
      <c r="AD321" s="182"/>
      <c r="AE321" s="182">
        <f t="shared" si="1297"/>
        <v>0</v>
      </c>
      <c r="AF321" s="182"/>
      <c r="AG321" s="182"/>
      <c r="AH321" s="182"/>
      <c r="AI321" s="182">
        <f t="shared" si="1298"/>
        <v>0</v>
      </c>
      <c r="AJ321" s="182"/>
      <c r="AK321" s="182"/>
      <c r="AL321" s="182"/>
      <c r="AM321" s="182"/>
      <c r="AN321" s="182"/>
      <c r="AO321" s="182">
        <f t="shared" si="1299"/>
        <v>0</v>
      </c>
      <c r="AP321" s="182"/>
      <c r="AQ321" s="182">
        <f t="shared" si="1300"/>
        <v>0</v>
      </c>
      <c r="AR321" s="182"/>
      <c r="AS321" s="182">
        <f t="shared" si="1301"/>
        <v>0</v>
      </c>
      <c r="AT321" s="182">
        <v>6</v>
      </c>
      <c r="AU321" s="183">
        <f t="shared" si="1302"/>
        <v>180619.58879999997</v>
      </c>
      <c r="AV321" s="188"/>
      <c r="AW321" s="182">
        <f t="shared" si="1303"/>
        <v>0</v>
      </c>
      <c r="AX321" s="182"/>
      <c r="AY321" s="187">
        <f t="shared" si="1304"/>
        <v>0</v>
      </c>
      <c r="AZ321" s="182"/>
      <c r="BA321" s="182">
        <f>(AZ321*$E321*$F321*$G321*$L321*$AO$12)</f>
        <v>0</v>
      </c>
      <c r="BB321" s="182">
        <v>0</v>
      </c>
      <c r="BC321" s="182">
        <f t="shared" si="1305"/>
        <v>0</v>
      </c>
      <c r="BD321" s="182"/>
      <c r="BE321" s="182">
        <f>(BD321*$E321*$F321*$G321*$L321*BE$12)</f>
        <v>0</v>
      </c>
      <c r="BF321" s="182"/>
      <c r="BG321" s="182">
        <f t="shared" si="1306"/>
        <v>0</v>
      </c>
      <c r="BH321" s="182"/>
      <c r="BI321" s="182">
        <f t="shared" si="1307"/>
        <v>0</v>
      </c>
      <c r="BJ321" s="182"/>
      <c r="BK321" s="182"/>
      <c r="BL321" s="182"/>
      <c r="BM321" s="182">
        <f t="shared" si="1308"/>
        <v>0</v>
      </c>
      <c r="BN321" s="182">
        <v>3</v>
      </c>
      <c r="BO321" s="182">
        <f t="shared" si="1309"/>
        <v>90309.794399999984</v>
      </c>
      <c r="BP321" s="182"/>
      <c r="BQ321" s="182">
        <f t="shared" si="1310"/>
        <v>0</v>
      </c>
      <c r="BR321" s="182"/>
      <c r="BS321" s="182">
        <f t="shared" si="1311"/>
        <v>0</v>
      </c>
      <c r="BT321" s="182">
        <v>16</v>
      </c>
      <c r="BU321" s="182">
        <f t="shared" si="1312"/>
        <v>481652.2367999999</v>
      </c>
      <c r="BV321" s="182"/>
      <c r="BW321" s="182">
        <f t="shared" si="1313"/>
        <v>0</v>
      </c>
      <c r="BX321" s="182">
        <v>3</v>
      </c>
      <c r="BY321" s="182">
        <f t="shared" si="1314"/>
        <v>90309.794399999984</v>
      </c>
      <c r="BZ321" s="182"/>
      <c r="CA321" s="187">
        <f t="shared" si="1315"/>
        <v>0</v>
      </c>
      <c r="CB321" s="182"/>
      <c r="CC321" s="182">
        <f t="shared" si="1316"/>
        <v>0</v>
      </c>
      <c r="CD321" s="182"/>
      <c r="CE321" s="183">
        <f t="shared" si="1317"/>
        <v>0</v>
      </c>
      <c r="CF321" s="182"/>
      <c r="CG321" s="182">
        <f t="shared" si="1318"/>
        <v>0</v>
      </c>
      <c r="CH321" s="182"/>
      <c r="CI321" s="182">
        <f t="shared" si="1319"/>
        <v>0</v>
      </c>
      <c r="CJ321" s="182"/>
      <c r="CK321" s="182"/>
      <c r="CL321" s="182"/>
      <c r="CM321" s="182">
        <f t="shared" si="1320"/>
        <v>0</v>
      </c>
      <c r="CN321" s="182"/>
      <c r="CO321" s="182">
        <f t="shared" si="1321"/>
        <v>0</v>
      </c>
      <c r="CP321" s="182">
        <v>2</v>
      </c>
      <c r="CQ321" s="182">
        <f t="shared" si="1322"/>
        <v>50172.107999999986</v>
      </c>
      <c r="CR321" s="182"/>
      <c r="CS321" s="182">
        <f t="shared" si="1323"/>
        <v>0</v>
      </c>
      <c r="CT321" s="182">
        <v>5</v>
      </c>
      <c r="CU321" s="182">
        <f t="shared" si="1324"/>
        <v>125430.26999999997</v>
      </c>
      <c r="CV321" s="182"/>
      <c r="CW321" s="182">
        <v>0</v>
      </c>
      <c r="CX321" s="182">
        <v>3</v>
      </c>
      <c r="CY321" s="182">
        <f t="shared" si="1325"/>
        <v>90309.794399999984</v>
      </c>
      <c r="CZ321" s="182"/>
      <c r="DA321" s="182">
        <v>0</v>
      </c>
      <c r="DB321" s="188"/>
      <c r="DC321" s="182">
        <f t="shared" si="1326"/>
        <v>0</v>
      </c>
      <c r="DD321" s="182"/>
      <c r="DE321" s="187">
        <f t="shared" si="1327"/>
        <v>0</v>
      </c>
      <c r="DF321" s="182"/>
      <c r="DG321" s="182"/>
      <c r="DH321" s="189"/>
      <c r="DI321" s="182">
        <f t="shared" si="1328"/>
        <v>0</v>
      </c>
      <c r="DJ321" s="182">
        <v>2</v>
      </c>
      <c r="DK321" s="182">
        <f t="shared" si="1329"/>
        <v>60206.529599999987</v>
      </c>
      <c r="DL321" s="182"/>
      <c r="DM321" s="182">
        <f t="shared" si="1330"/>
        <v>0</v>
      </c>
      <c r="DN321" s="182">
        <f>ROUND(5*0.75,0)</f>
        <v>4</v>
      </c>
      <c r="DO321" s="187">
        <f t="shared" si="1331"/>
        <v>184203.31079999995</v>
      </c>
      <c r="DP321" s="187"/>
      <c r="DQ321" s="187"/>
      <c r="DR321" s="183">
        <f t="shared" si="1291"/>
        <v>72</v>
      </c>
      <c r="DS321" s="183">
        <f t="shared" si="1291"/>
        <v>2055622.9391999997</v>
      </c>
      <c r="DT321" s="182">
        <v>70</v>
      </c>
      <c r="DU321" s="182">
        <v>2000433.6203999997</v>
      </c>
      <c r="DV321" s="167">
        <f t="shared" si="1035"/>
        <v>2</v>
      </c>
      <c r="DW321" s="167">
        <f t="shared" si="1035"/>
        <v>55189.318800000008</v>
      </c>
    </row>
    <row r="322" spans="1:127" ht="30" customHeight="1" x14ac:dyDescent="0.25">
      <c r="A322" s="154"/>
      <c r="B322" s="176">
        <v>278</v>
      </c>
      <c r="C322" s="177" t="s">
        <v>719</v>
      </c>
      <c r="D322" s="210" t="s">
        <v>720</v>
      </c>
      <c r="E322" s="158">
        <v>25969</v>
      </c>
      <c r="F322" s="179">
        <v>0.56000000000000005</v>
      </c>
      <c r="G322" s="168">
        <v>1</v>
      </c>
      <c r="H322" s="169"/>
      <c r="I322" s="169"/>
      <c r="J322" s="169"/>
      <c r="K322" s="106"/>
      <c r="L322" s="180">
        <v>1.4</v>
      </c>
      <c r="M322" s="180">
        <v>1.68</v>
      </c>
      <c r="N322" s="180">
        <v>2.23</v>
      </c>
      <c r="O322" s="181">
        <v>2.57</v>
      </c>
      <c r="P322" s="182">
        <v>60</v>
      </c>
      <c r="Q322" s="182">
        <f t="shared" si="1292"/>
        <v>1221581.76</v>
      </c>
      <c r="R322" s="182">
        <v>75</v>
      </c>
      <c r="S322" s="187">
        <f t="shared" si="1293"/>
        <v>1526977.2</v>
      </c>
      <c r="T322" s="182">
        <v>23</v>
      </c>
      <c r="U322" s="182">
        <f t="shared" si="1294"/>
        <v>468273.00800000003</v>
      </c>
      <c r="V322" s="182"/>
      <c r="W322" s="182">
        <f t="shared" si="1295"/>
        <v>0</v>
      </c>
      <c r="X322" s="182"/>
      <c r="Y322" s="182">
        <v>0</v>
      </c>
      <c r="Z322" s="182"/>
      <c r="AA322" s="182">
        <v>0</v>
      </c>
      <c r="AB322" s="182">
        <f t="shared" si="1296"/>
        <v>0</v>
      </c>
      <c r="AC322" s="182">
        <f t="shared" si="1296"/>
        <v>0</v>
      </c>
      <c r="AD322" s="182"/>
      <c r="AE322" s="182">
        <f t="shared" si="1297"/>
        <v>0</v>
      </c>
      <c r="AF322" s="182"/>
      <c r="AG322" s="182"/>
      <c r="AH322" s="182"/>
      <c r="AI322" s="182">
        <f t="shared" si="1298"/>
        <v>0</v>
      </c>
      <c r="AJ322" s="182"/>
      <c r="AK322" s="182"/>
      <c r="AL322" s="182"/>
      <c r="AM322" s="182"/>
      <c r="AN322" s="182"/>
      <c r="AO322" s="182">
        <f t="shared" si="1299"/>
        <v>0</v>
      </c>
      <c r="AP322" s="182"/>
      <c r="AQ322" s="182">
        <f t="shared" si="1300"/>
        <v>0</v>
      </c>
      <c r="AR322" s="182"/>
      <c r="AS322" s="182">
        <f t="shared" si="1301"/>
        <v>0</v>
      </c>
      <c r="AT322" s="182">
        <v>50</v>
      </c>
      <c r="AU322" s="183">
        <f t="shared" si="1302"/>
        <v>1221581.7600000002</v>
      </c>
      <c r="AV322" s="188"/>
      <c r="AW322" s="182">
        <f t="shared" si="1303"/>
        <v>0</v>
      </c>
      <c r="AX322" s="182"/>
      <c r="AY322" s="187">
        <f t="shared" si="1304"/>
        <v>0</v>
      </c>
      <c r="AZ322" s="182"/>
      <c r="BA322" s="182">
        <f>(AZ322*$E322*$F322*$G322*$L322*$AO$12)</f>
        <v>0</v>
      </c>
      <c r="BB322" s="182"/>
      <c r="BC322" s="182">
        <f t="shared" si="1305"/>
        <v>0</v>
      </c>
      <c r="BD322" s="182"/>
      <c r="BE322" s="182">
        <f>(BD322*$E322*$F322*$G322*$L322*BE$12)</f>
        <v>0</v>
      </c>
      <c r="BF322" s="182"/>
      <c r="BG322" s="182">
        <f t="shared" si="1306"/>
        <v>0</v>
      </c>
      <c r="BH322" s="182"/>
      <c r="BI322" s="182">
        <f t="shared" si="1307"/>
        <v>0</v>
      </c>
      <c r="BJ322" s="182"/>
      <c r="BK322" s="182"/>
      <c r="BL322" s="182"/>
      <c r="BM322" s="182">
        <f t="shared" si="1308"/>
        <v>0</v>
      </c>
      <c r="BN322" s="182">
        <v>17</v>
      </c>
      <c r="BO322" s="182">
        <f t="shared" si="1309"/>
        <v>415337.79840000003</v>
      </c>
      <c r="BP322" s="182"/>
      <c r="BQ322" s="182">
        <f t="shared" si="1310"/>
        <v>0</v>
      </c>
      <c r="BR322" s="182"/>
      <c r="BS322" s="182">
        <f t="shared" si="1311"/>
        <v>0</v>
      </c>
      <c r="BT322" s="182">
        <v>20</v>
      </c>
      <c r="BU322" s="182">
        <f t="shared" si="1312"/>
        <v>488632.70400000009</v>
      </c>
      <c r="BV322" s="182">
        <v>3</v>
      </c>
      <c r="BW322" s="182">
        <f t="shared" si="1313"/>
        <v>73294.905600000013</v>
      </c>
      <c r="BX322" s="182">
        <v>7</v>
      </c>
      <c r="BY322" s="182">
        <f t="shared" si="1314"/>
        <v>171021.44640000002</v>
      </c>
      <c r="BZ322" s="182">
        <v>20</v>
      </c>
      <c r="CA322" s="187">
        <f t="shared" si="1315"/>
        <v>488632.70400000009</v>
      </c>
      <c r="CB322" s="182"/>
      <c r="CC322" s="182">
        <f t="shared" si="1316"/>
        <v>0</v>
      </c>
      <c r="CD322" s="182"/>
      <c r="CE322" s="183">
        <f t="shared" si="1317"/>
        <v>0</v>
      </c>
      <c r="CF322" s="182"/>
      <c r="CG322" s="182">
        <f t="shared" si="1318"/>
        <v>0</v>
      </c>
      <c r="CH322" s="182"/>
      <c r="CI322" s="182">
        <f t="shared" si="1319"/>
        <v>0</v>
      </c>
      <c r="CJ322" s="182"/>
      <c r="CK322" s="182"/>
      <c r="CL322" s="182"/>
      <c r="CM322" s="182">
        <f t="shared" si="1320"/>
        <v>0</v>
      </c>
      <c r="CN322" s="182"/>
      <c r="CO322" s="182">
        <f t="shared" si="1321"/>
        <v>0</v>
      </c>
      <c r="CP322" s="182">
        <v>4</v>
      </c>
      <c r="CQ322" s="182">
        <f t="shared" si="1322"/>
        <v>81438.784</v>
      </c>
      <c r="CR322" s="182">
        <v>6</v>
      </c>
      <c r="CS322" s="182">
        <f t="shared" si="1323"/>
        <v>122158.17600000001</v>
      </c>
      <c r="CT322" s="182">
        <v>17</v>
      </c>
      <c r="CU322" s="182">
        <f t="shared" si="1324"/>
        <v>346114.83200000005</v>
      </c>
      <c r="CV322" s="182">
        <v>17</v>
      </c>
      <c r="CW322" s="182">
        <v>390906.24000000011</v>
      </c>
      <c r="CX322" s="182">
        <v>10</v>
      </c>
      <c r="CY322" s="182">
        <f t="shared" si="1325"/>
        <v>244316.35200000004</v>
      </c>
      <c r="CZ322" s="182"/>
      <c r="DA322" s="182">
        <v>0</v>
      </c>
      <c r="DB322" s="188"/>
      <c r="DC322" s="182">
        <f t="shared" si="1326"/>
        <v>0</v>
      </c>
      <c r="DD322" s="182"/>
      <c r="DE322" s="187">
        <f t="shared" si="1327"/>
        <v>0</v>
      </c>
      <c r="DF322" s="182"/>
      <c r="DG322" s="182"/>
      <c r="DH322" s="189">
        <f>ROUND(9*0.75,0)</f>
        <v>7</v>
      </c>
      <c r="DI322" s="182">
        <f>(DH322*$E322*$F322*$G322*$M322)</f>
        <v>171021.44640000002</v>
      </c>
      <c r="DJ322" s="182">
        <v>2</v>
      </c>
      <c r="DK322" s="182">
        <f t="shared" si="1329"/>
        <v>48863.270400000001</v>
      </c>
      <c r="DL322" s="182">
        <f>ROUND(10*0.75,0)</f>
        <v>8</v>
      </c>
      <c r="DM322" s="182">
        <f t="shared" si="1330"/>
        <v>259440.69760000001</v>
      </c>
      <c r="DN322" s="182">
        <f>ROUND(5*0.75,0)</f>
        <v>4</v>
      </c>
      <c r="DO322" s="187">
        <f t="shared" si="1331"/>
        <v>149498.33920000002</v>
      </c>
      <c r="DP322" s="187"/>
      <c r="DQ322" s="187"/>
      <c r="DR322" s="183">
        <f t="shared" si="1291"/>
        <v>350</v>
      </c>
      <c r="DS322" s="183">
        <f t="shared" si="1291"/>
        <v>7889091.4239999996</v>
      </c>
      <c r="DT322" s="182">
        <v>331</v>
      </c>
      <c r="DU322" s="182">
        <v>7502257.2000000002</v>
      </c>
      <c r="DV322" s="167">
        <f t="shared" si="1035"/>
        <v>19</v>
      </c>
      <c r="DW322" s="167">
        <f t="shared" si="1035"/>
        <v>386834.22399999946</v>
      </c>
    </row>
    <row r="323" spans="1:127" ht="30" customHeight="1" x14ac:dyDescent="0.25">
      <c r="A323" s="154"/>
      <c r="B323" s="176">
        <v>279</v>
      </c>
      <c r="C323" s="177" t="s">
        <v>721</v>
      </c>
      <c r="D323" s="210" t="s">
        <v>722</v>
      </c>
      <c r="E323" s="158">
        <v>25969</v>
      </c>
      <c r="F323" s="179">
        <v>0.74</v>
      </c>
      <c r="G323" s="168">
        <v>1</v>
      </c>
      <c r="H323" s="169"/>
      <c r="I323" s="169"/>
      <c r="J323" s="169"/>
      <c r="K323" s="106"/>
      <c r="L323" s="180">
        <v>1.4</v>
      </c>
      <c r="M323" s="180">
        <v>1.68</v>
      </c>
      <c r="N323" s="180">
        <v>2.23</v>
      </c>
      <c r="O323" s="181">
        <v>2.57</v>
      </c>
      <c r="P323" s="182">
        <v>5</v>
      </c>
      <c r="Q323" s="182">
        <f t="shared" si="1292"/>
        <v>134519.41999999998</v>
      </c>
      <c r="R323" s="182">
        <v>40</v>
      </c>
      <c r="S323" s="187">
        <f t="shared" si="1293"/>
        <v>1076155.3599999999</v>
      </c>
      <c r="T323" s="182">
        <v>5</v>
      </c>
      <c r="U323" s="182">
        <f t="shared" si="1294"/>
        <v>134519.41999999998</v>
      </c>
      <c r="V323" s="182"/>
      <c r="W323" s="182">
        <f t="shared" si="1295"/>
        <v>0</v>
      </c>
      <c r="X323" s="182"/>
      <c r="Y323" s="182">
        <v>0</v>
      </c>
      <c r="Z323" s="182"/>
      <c r="AA323" s="182">
        <v>0</v>
      </c>
      <c r="AB323" s="182">
        <f t="shared" si="1296"/>
        <v>0</v>
      </c>
      <c r="AC323" s="182">
        <f t="shared" si="1296"/>
        <v>0</v>
      </c>
      <c r="AD323" s="182"/>
      <c r="AE323" s="182">
        <f t="shared" si="1297"/>
        <v>0</v>
      </c>
      <c r="AF323" s="182"/>
      <c r="AG323" s="182"/>
      <c r="AH323" s="182"/>
      <c r="AI323" s="182">
        <f t="shared" si="1298"/>
        <v>0</v>
      </c>
      <c r="AJ323" s="182"/>
      <c r="AK323" s="182"/>
      <c r="AL323" s="182"/>
      <c r="AM323" s="182"/>
      <c r="AN323" s="182"/>
      <c r="AO323" s="182">
        <f t="shared" si="1299"/>
        <v>0</v>
      </c>
      <c r="AP323" s="182"/>
      <c r="AQ323" s="182">
        <f t="shared" si="1300"/>
        <v>0</v>
      </c>
      <c r="AR323" s="182"/>
      <c r="AS323" s="182">
        <f t="shared" si="1301"/>
        <v>0</v>
      </c>
      <c r="AT323" s="182">
        <f>44-10</f>
        <v>34</v>
      </c>
      <c r="AU323" s="183">
        <f t="shared" si="1302"/>
        <v>1097678.4672000001</v>
      </c>
      <c r="AV323" s="188"/>
      <c r="AW323" s="182">
        <f t="shared" si="1303"/>
        <v>0</v>
      </c>
      <c r="AX323" s="182"/>
      <c r="AY323" s="187">
        <f t="shared" si="1304"/>
        <v>0</v>
      </c>
      <c r="AZ323" s="182"/>
      <c r="BA323" s="182">
        <f>(AZ323*$E323*$F323*$G323*$L323*$AO$12)</f>
        <v>0</v>
      </c>
      <c r="BB323" s="182"/>
      <c r="BC323" s="182">
        <f t="shared" si="1305"/>
        <v>0</v>
      </c>
      <c r="BD323" s="182"/>
      <c r="BE323" s="182">
        <f>(BD323*$E323*$F323*$G323*$L323*BE$12)</f>
        <v>0</v>
      </c>
      <c r="BF323" s="182"/>
      <c r="BG323" s="182">
        <f t="shared" si="1306"/>
        <v>0</v>
      </c>
      <c r="BH323" s="182"/>
      <c r="BI323" s="182">
        <f t="shared" si="1307"/>
        <v>0</v>
      </c>
      <c r="BJ323" s="182"/>
      <c r="BK323" s="182"/>
      <c r="BL323" s="182"/>
      <c r="BM323" s="182">
        <f t="shared" si="1308"/>
        <v>0</v>
      </c>
      <c r="BN323" s="182">
        <v>8</v>
      </c>
      <c r="BO323" s="182">
        <f t="shared" si="1309"/>
        <v>258277.28640000001</v>
      </c>
      <c r="BP323" s="182"/>
      <c r="BQ323" s="182">
        <f t="shared" si="1310"/>
        <v>0</v>
      </c>
      <c r="BR323" s="182"/>
      <c r="BS323" s="182">
        <f t="shared" si="1311"/>
        <v>0</v>
      </c>
      <c r="BT323" s="182">
        <v>12</v>
      </c>
      <c r="BU323" s="182">
        <f t="shared" si="1312"/>
        <v>387415.92959999997</v>
      </c>
      <c r="BV323" s="182">
        <v>8</v>
      </c>
      <c r="BW323" s="182">
        <f t="shared" si="1313"/>
        <v>258277.28640000001</v>
      </c>
      <c r="BX323" s="182">
        <v>10</v>
      </c>
      <c r="BY323" s="182">
        <f t="shared" si="1314"/>
        <v>322846.60800000001</v>
      </c>
      <c r="BZ323" s="182">
        <v>5</v>
      </c>
      <c r="CA323" s="187">
        <f t="shared" si="1315"/>
        <v>161423.304</v>
      </c>
      <c r="CB323" s="182"/>
      <c r="CC323" s="182">
        <f t="shared" si="1316"/>
        <v>0</v>
      </c>
      <c r="CD323" s="182"/>
      <c r="CE323" s="183">
        <f t="shared" si="1317"/>
        <v>0</v>
      </c>
      <c r="CF323" s="182"/>
      <c r="CG323" s="182">
        <f t="shared" si="1318"/>
        <v>0</v>
      </c>
      <c r="CH323" s="182"/>
      <c r="CI323" s="182">
        <f t="shared" si="1319"/>
        <v>0</v>
      </c>
      <c r="CJ323" s="182"/>
      <c r="CK323" s="182"/>
      <c r="CL323" s="182"/>
      <c r="CM323" s="182">
        <f t="shared" si="1320"/>
        <v>0</v>
      </c>
      <c r="CN323" s="182"/>
      <c r="CO323" s="182">
        <f t="shared" si="1321"/>
        <v>0</v>
      </c>
      <c r="CP323" s="182">
        <v>5</v>
      </c>
      <c r="CQ323" s="182">
        <f t="shared" si="1322"/>
        <v>134519.41999999998</v>
      </c>
      <c r="CR323" s="182">
        <v>4</v>
      </c>
      <c r="CS323" s="182">
        <f t="shared" si="1323"/>
        <v>107615.53600000001</v>
      </c>
      <c r="CT323" s="182">
        <v>9</v>
      </c>
      <c r="CU323" s="182">
        <f t="shared" si="1324"/>
        <v>242134.95600000001</v>
      </c>
      <c r="CV323" s="182">
        <v>6</v>
      </c>
      <c r="CW323" s="182">
        <v>193707.96</v>
      </c>
      <c r="CX323" s="182">
        <v>12</v>
      </c>
      <c r="CY323" s="182">
        <f t="shared" si="1325"/>
        <v>387415.92959999997</v>
      </c>
      <c r="CZ323" s="182"/>
      <c r="DA323" s="182">
        <v>0</v>
      </c>
      <c r="DB323" s="188"/>
      <c r="DC323" s="182">
        <f t="shared" si="1326"/>
        <v>0</v>
      </c>
      <c r="DD323" s="182"/>
      <c r="DE323" s="187">
        <f t="shared" si="1327"/>
        <v>0</v>
      </c>
      <c r="DF323" s="182"/>
      <c r="DG323" s="182"/>
      <c r="DH323" s="189">
        <f>ROUND(1*0.75,0)</f>
        <v>1</v>
      </c>
      <c r="DI323" s="182">
        <f>(DH323*$E323*$F323*$G323*$M323)</f>
        <v>32284.660800000001</v>
      </c>
      <c r="DJ323" s="182">
        <v>3</v>
      </c>
      <c r="DK323" s="182">
        <f t="shared" si="1329"/>
        <v>96853.982399999994</v>
      </c>
      <c r="DL323" s="182">
        <f>ROUND(10*0.75,0)</f>
        <v>8</v>
      </c>
      <c r="DM323" s="182">
        <f t="shared" si="1330"/>
        <v>342832.3504</v>
      </c>
      <c r="DN323" s="182">
        <f>ROUND(5*0.75,0)</f>
        <v>4</v>
      </c>
      <c r="DO323" s="187">
        <f t="shared" si="1331"/>
        <v>197551.3768</v>
      </c>
      <c r="DP323" s="187"/>
      <c r="DQ323" s="187"/>
      <c r="DR323" s="183">
        <f t="shared" si="1291"/>
        <v>179</v>
      </c>
      <c r="DS323" s="183">
        <f t="shared" si="1291"/>
        <v>5566029.2535999985</v>
      </c>
      <c r="DT323" s="182">
        <v>185</v>
      </c>
      <c r="DU323" s="182">
        <v>5727452.5575999999</v>
      </c>
      <c r="DV323" s="167">
        <f t="shared" si="1035"/>
        <v>-6</v>
      </c>
      <c r="DW323" s="167">
        <f t="shared" si="1035"/>
        <v>-161423.3040000014</v>
      </c>
    </row>
    <row r="324" spans="1:127" ht="30" customHeight="1" x14ac:dyDescent="0.25">
      <c r="A324" s="154"/>
      <c r="B324" s="176">
        <v>280</v>
      </c>
      <c r="C324" s="177" t="s">
        <v>723</v>
      </c>
      <c r="D324" s="210" t="s">
        <v>724</v>
      </c>
      <c r="E324" s="158">
        <v>25969</v>
      </c>
      <c r="F324" s="179">
        <v>1.44</v>
      </c>
      <c r="G324" s="168">
        <v>1</v>
      </c>
      <c r="H324" s="169"/>
      <c r="I324" s="169"/>
      <c r="J324" s="169"/>
      <c r="K324" s="106"/>
      <c r="L324" s="180">
        <v>1.4</v>
      </c>
      <c r="M324" s="180">
        <v>1.68</v>
      </c>
      <c r="N324" s="180">
        <v>2.23</v>
      </c>
      <c r="O324" s="181">
        <v>2.57</v>
      </c>
      <c r="P324" s="182">
        <v>360</v>
      </c>
      <c r="Q324" s="182">
        <f t="shared" ref="Q324:Q329" si="1332">(P324*$E324*$F324*$G324*$L324*$Q$12)</f>
        <v>20731987.583999999</v>
      </c>
      <c r="R324" s="182">
        <v>465</v>
      </c>
      <c r="S324" s="182">
        <f t="shared" ref="S324:S329" si="1333">(R324*$E324*$F324*$G324*$L324*$S$12)</f>
        <v>26778817.295999996</v>
      </c>
      <c r="T324" s="182">
        <f>247+14</f>
        <v>261</v>
      </c>
      <c r="U324" s="182">
        <f t="shared" ref="U324:U329" si="1334">(T324/12*11*$E324*$F324*$G324*$L324*$U$12)+(T324/12*1*$E324*$F324*$G324*$L324*$U$14)</f>
        <v>17251133.9868</v>
      </c>
      <c r="V324" s="182"/>
      <c r="W324" s="183">
        <f t="shared" ref="W324:W329" si="1335">(V324*$E324*$F324*$G324*$L324*$W$12)/12*10+(V324*$E324*$F324*$G324*$L324*$W$13)/12*1++(V324*$E324*$F324*$G324*$L324*$W$14)/12*1</f>
        <v>0</v>
      </c>
      <c r="X324" s="183"/>
      <c r="Y324" s="183">
        <v>0</v>
      </c>
      <c r="Z324" s="183"/>
      <c r="AA324" s="183">
        <v>0</v>
      </c>
      <c r="AB324" s="182">
        <f t="shared" si="1296"/>
        <v>0</v>
      </c>
      <c r="AC324" s="182">
        <f t="shared" si="1296"/>
        <v>0</v>
      </c>
      <c r="AD324" s="182"/>
      <c r="AE324" s="182">
        <f t="shared" ref="AE324:AE329" si="1336">(AD324*$E324*$F324*$G324*$L324*$AE$12)</f>
        <v>0</v>
      </c>
      <c r="AF324" s="182"/>
      <c r="AG324" s="182"/>
      <c r="AH324" s="182">
        <v>4</v>
      </c>
      <c r="AI324" s="182">
        <f t="shared" ref="AI324:AI329" si="1337">(AH324*$E324*$F324*$G324*$L324*$AI$12)</f>
        <v>230355.41760000002</v>
      </c>
      <c r="AJ324" s="182"/>
      <c r="AK324" s="182"/>
      <c r="AL324" s="182"/>
      <c r="AM324" s="182"/>
      <c r="AN324" s="182"/>
      <c r="AO324" s="182">
        <f t="shared" ref="AO324:AO329" si="1338">(AN324*$E324*$F324*$G324*$L324*$AO$12)</f>
        <v>0</v>
      </c>
      <c r="AP324" s="182">
        <v>4</v>
      </c>
      <c r="AQ324" s="183">
        <f t="shared" ref="AQ324:AQ329" si="1339">(AP324*$E324*$F324*$G324*$L324*$AQ$12)</f>
        <v>230355.41760000002</v>
      </c>
      <c r="AR324" s="182">
        <v>3</v>
      </c>
      <c r="AS324" s="182">
        <f t="shared" ref="AS324:AS329" si="1340">(AR324*$E324*$F324*$G324*$L324*$AS$12)/12*10+(AR324*$E324*$F324*$G324*$L324*$AS$13)/12*1+(AR324*$E324*$F324*$L324*$G324*$AS$14*$AS$15)/12*1</f>
        <v>186506.74032479999</v>
      </c>
      <c r="AT324" s="182">
        <f>210+38</f>
        <v>248</v>
      </c>
      <c r="AU324" s="182">
        <f t="shared" ref="AU324:AU329" si="1341">(AT324*$E324*$F324*$G324*$M324*$AU$12)/12*10+(AT324*$E324*$F324*$G324*$M324*$AU$13)/12+(AT324*$E324*$F324*$G324*$M324*$AU$14*$AU$15)/12</f>
        <v>17954848.385455564</v>
      </c>
      <c r="AV324" s="188"/>
      <c r="AW324" s="182">
        <f t="shared" ref="AW324:AW329" si="1342">(AV324*$E324*$F324*$G324*$M324*$AW$12)</f>
        <v>0</v>
      </c>
      <c r="AX324" s="182">
        <v>2</v>
      </c>
      <c r="AY324" s="187">
        <f t="shared" ref="AY324:AY329" si="1343">(AX324*$E324*$F324*$G324*$M324*$AY$12)</f>
        <v>138213.25056000001</v>
      </c>
      <c r="AZ324" s="182"/>
      <c r="BA324" s="182">
        <f t="shared" ref="BA324:BA329" si="1344">(AZ324*$E324*$F324*$G324*$L324*$BA$12)</f>
        <v>0</v>
      </c>
      <c r="BB324" s="182"/>
      <c r="BC324" s="182">
        <f t="shared" ref="BC324:BC329" si="1345">(BB324*$E324*$F324*$G324*$L324*$BC$12)</f>
        <v>0</v>
      </c>
      <c r="BD324" s="182"/>
      <c r="BE324" s="182">
        <f t="shared" ref="BE324:BE329" si="1346">(BD324*$E324*$F324*$G324*$L324*$BE$12)</f>
        <v>0</v>
      </c>
      <c r="BF324" s="182"/>
      <c r="BG324" s="182">
        <f t="shared" ref="BG324:BG329" si="1347">(BF324*$E324*$F324*$G324*$L324*$BG$12)</f>
        <v>0</v>
      </c>
      <c r="BH324" s="182"/>
      <c r="BI324" s="183">
        <f t="shared" ref="BI324:BI329" si="1348">(BH324*$E324*$F324*$G324*$L324*$BI$12)</f>
        <v>0</v>
      </c>
      <c r="BJ324" s="182"/>
      <c r="BK324" s="183">
        <f t="shared" ref="BK324:BK329" si="1349">(BJ324*$E324*$F324*$G324*$L324*$BK$12)</f>
        <v>0</v>
      </c>
      <c r="BL324" s="182"/>
      <c r="BM324" s="182">
        <f t="shared" ref="BM324:BM329" si="1350">(BL324*$E324*$F324*$G324*$L324*$BM$12)</f>
        <v>0</v>
      </c>
      <c r="BN324" s="182">
        <v>90</v>
      </c>
      <c r="BO324" s="182">
        <f t="shared" ref="BO324:BO329" si="1351">(BN324*$E324*$F324*$G324*$M324*$BO$12)</f>
        <v>6219596.275200001</v>
      </c>
      <c r="BP324" s="182"/>
      <c r="BQ324" s="182">
        <f t="shared" ref="BQ324:BQ329" si="1352">(BP324*$E324*$F324*$G324*$M324*$BQ$12)</f>
        <v>0</v>
      </c>
      <c r="BR324" s="182"/>
      <c r="BS324" s="183">
        <f t="shared" ref="BS324:BS329" si="1353">(BR324*$E324*$F324*$G324*$M324*$BS$12)</f>
        <v>0</v>
      </c>
      <c r="BT324" s="182">
        <v>10</v>
      </c>
      <c r="BU324" s="182">
        <f t="shared" ref="BU324:BU329" si="1354">(BT324*$E324*$F324*$G324*$M324*$BU$12)/12*10+(BT324*$E324*$F324*$G324*$M324*$BU$13)/12+(BT324*$E324*$F324*$G324*$M324*$BU$13*$BU$15)/12</f>
        <v>699862.47912806389</v>
      </c>
      <c r="BV324" s="182"/>
      <c r="BW324" s="182">
        <f t="shared" ref="BW324:BW329" si="1355">(BV324*$E324*$F324*$G324*$M324*$BW$12)</f>
        <v>0</v>
      </c>
      <c r="BX324" s="182">
        <v>10</v>
      </c>
      <c r="BY324" s="183">
        <f t="shared" ref="BY324:BY329" si="1356">(BX324*$E324*$F324*$G324*$M324*$BY$12)/12*11+(BX324*$E324*$F324*$G324*$M324*$BY$12*$BY$15)/12</f>
        <v>847297.48529664008</v>
      </c>
      <c r="BZ324" s="182">
        <v>18</v>
      </c>
      <c r="CA324" s="187">
        <f t="shared" ref="CA324:CA329" si="1357">(BZ324*$E324*$F324*$G324*$M324*$CA$12)/12*11+(BZ324*$E324*$F324*$G324*$M324*$CA$12*$CA$15)/12</f>
        <v>1477917.4294483198</v>
      </c>
      <c r="CB324" s="182"/>
      <c r="CC324" s="182">
        <f t="shared" ref="CC324:CC329" si="1358">(CB324*$E324*$F324*$G324*$L324*$CC$12)</f>
        <v>0</v>
      </c>
      <c r="CD324" s="182"/>
      <c r="CE324" s="182">
        <f t="shared" ref="CE324:CE329" si="1359">(CD324*$E324*$F324*$G324*$L324*$CE$12)</f>
        <v>0</v>
      </c>
      <c r="CF324" s="182"/>
      <c r="CG324" s="182">
        <f t="shared" ref="CG324:CG329" si="1360">(CF324*$E324*$F324*$G324*$L324*$CG$12)</f>
        <v>0</v>
      </c>
      <c r="CH324" s="182">
        <v>3</v>
      </c>
      <c r="CI324" s="182">
        <f t="shared" ref="CI324:CI329" si="1361">(CH324*$E324*$F324*$G324*$M324*$CI$12)/12*11+(CH324*$E324*$F324*$G324*$M324*$CI$12*$CI$15)/12</f>
        <v>210040.47802886399</v>
      </c>
      <c r="CJ324" s="182"/>
      <c r="CK324" s="182"/>
      <c r="CL324" s="182"/>
      <c r="CM324" s="183">
        <f t="shared" ref="CM324:CM329" si="1362">(CL324*$E324*$F324*$G324*$L324*$CM$12)</f>
        <v>0</v>
      </c>
      <c r="CN324" s="182"/>
      <c r="CO324" s="183">
        <f t="shared" ref="CO324:CO329" si="1363">(CN324*$E324*$F324*$G324*$L324*$CO$12)</f>
        <v>0</v>
      </c>
      <c r="CP324" s="182">
        <v>6</v>
      </c>
      <c r="CQ324" s="182">
        <f t="shared" ref="CQ324:CQ329" si="1364">(CP324*$E324*$F324*$G324*$L324*$CQ$12)/12*11+(CP324*$E324*$F324*$G324*$L324*$CQ$12*$CQ$15)/12</f>
        <v>348146.61331967992</v>
      </c>
      <c r="CR324" s="182">
        <v>2</v>
      </c>
      <c r="CS324" s="182">
        <f t="shared" ref="CS324:CS329" si="1365">(CR324*$E324*$F324*$G324*$L324*$CS$12)/12*10+(CR324*$E324*$F324*$G324*$L324*$CS$13)/12+(CR324*$E324*$F324*$G324*$L324*$CS$13*$CS$15)/12</f>
        <v>125529.91616928001</v>
      </c>
      <c r="CT324" s="182">
        <f>25-5</f>
        <v>20</v>
      </c>
      <c r="CU324" s="182">
        <f t="shared" ref="CU324:CU329" si="1366">(CT324*$E324*$F324*$G324*$L324*$CU$12)/12*11+(CT324*$E324*$F324*$G324*$L324*$CU$12*$CU$15)/12</f>
        <v>1099203.6992831999</v>
      </c>
      <c r="CV324" s="182">
        <v>60</v>
      </c>
      <c r="CW324" s="182">
        <v>3596685.4500000034</v>
      </c>
      <c r="CX324" s="182">
        <v>12</v>
      </c>
      <c r="CY324" s="182">
        <f t="shared" ref="CY324:CY329" si="1367">(CX324/12*11*$E324*$F324*$G324*$M324*$CY$12)+(CX324/12*$E324*$F324*$G324*$M324*$CY$15*$CY$12)</f>
        <v>813591.04293734394</v>
      </c>
      <c r="CZ324" s="182">
        <v>1</v>
      </c>
      <c r="DA324" s="182">
        <v>62824.2</v>
      </c>
      <c r="DB324" s="188"/>
      <c r="DC324" s="182">
        <f t="shared" ref="DC324:DC329" si="1368">(DB324*$E324*$F324*$G324*$M324*$DC$12)</f>
        <v>0</v>
      </c>
      <c r="DD324" s="182"/>
      <c r="DE324" s="187"/>
      <c r="DF324" s="182"/>
      <c r="DG324" s="182">
        <f t="shared" ref="DG324:DG329" si="1369">(DF324*$E324*$F324*$G324*$M324*$DG$12)</f>
        <v>0</v>
      </c>
      <c r="DH324" s="189">
        <f>ROUND(1*0.75,0)</f>
        <v>1</v>
      </c>
      <c r="DI324" s="182">
        <f>(DH324*$E324*$F324*$G324*$M324*$DI$12)</f>
        <v>62824.2048</v>
      </c>
      <c r="DJ324" s="182">
        <v>2</v>
      </c>
      <c r="DK324" s="182">
        <f t="shared" ref="DK324:DK329" si="1370">(DJ324/12*11*$E324*$F324*$G324*$M324*$DK$12)+(DJ324/12*1*$E324*$F324*$M324*$G324*$DK$12*$DK$15)</f>
        <v>136918.02487103996</v>
      </c>
      <c r="DL324" s="182"/>
      <c r="DM324" s="182">
        <f t="shared" ref="DM324:DM329" si="1371">(DL324*$E324*$F324*$G324*$N324*$DM$12)</f>
        <v>0</v>
      </c>
      <c r="DN324" s="182">
        <f>ROUND(8*0.75,0)</f>
        <v>6</v>
      </c>
      <c r="DO324" s="190">
        <f t="shared" ref="DO324:DO329" si="1372">(DN324*$E324*$F324*$G324*$O324*$DO$12)</f>
        <v>576636.45120000001</v>
      </c>
      <c r="DP324" s="187"/>
      <c r="DQ324" s="187"/>
      <c r="DR324" s="183">
        <f t="shared" si="1291"/>
        <v>1588</v>
      </c>
      <c r="DS324" s="183">
        <f t="shared" si="1291"/>
        <v>99779291.828022778</v>
      </c>
      <c r="DT324" s="182">
        <v>1597</v>
      </c>
      <c r="DU324" s="182">
        <v>99126959.357039988</v>
      </c>
      <c r="DV324" s="167">
        <f t="shared" si="1035"/>
        <v>-9</v>
      </c>
      <c r="DW324" s="167">
        <f t="shared" si="1035"/>
        <v>652332.47098278999</v>
      </c>
    </row>
    <row r="325" spans="1:127" ht="30" customHeight="1" x14ac:dyDescent="0.25">
      <c r="A325" s="154"/>
      <c r="B325" s="176">
        <v>281</v>
      </c>
      <c r="C325" s="177" t="s">
        <v>725</v>
      </c>
      <c r="D325" s="210" t="s">
        <v>726</v>
      </c>
      <c r="E325" s="158">
        <v>25969</v>
      </c>
      <c r="F325" s="179">
        <v>7.07</v>
      </c>
      <c r="G325" s="243">
        <v>0.8</v>
      </c>
      <c r="H325" s="242"/>
      <c r="I325" s="242"/>
      <c r="J325" s="242"/>
      <c r="K325" s="106"/>
      <c r="L325" s="180">
        <v>1.4</v>
      </c>
      <c r="M325" s="180">
        <v>1.68</v>
      </c>
      <c r="N325" s="180">
        <v>2.23</v>
      </c>
      <c r="O325" s="181">
        <v>2.57</v>
      </c>
      <c r="P325" s="182">
        <v>1</v>
      </c>
      <c r="Q325" s="182">
        <f t="shared" si="1332"/>
        <v>226196.22256000002</v>
      </c>
      <c r="R325" s="182">
        <v>100</v>
      </c>
      <c r="S325" s="182">
        <f t="shared" si="1333"/>
        <v>22619622.256000001</v>
      </c>
      <c r="T325" s="182"/>
      <c r="U325" s="182">
        <f t="shared" si="1334"/>
        <v>0</v>
      </c>
      <c r="V325" s="182"/>
      <c r="W325" s="183">
        <f t="shared" si="1335"/>
        <v>0</v>
      </c>
      <c r="X325" s="183"/>
      <c r="Y325" s="183">
        <v>0</v>
      </c>
      <c r="Z325" s="183"/>
      <c r="AA325" s="183">
        <v>0</v>
      </c>
      <c r="AB325" s="182">
        <f t="shared" si="1296"/>
        <v>0</v>
      </c>
      <c r="AC325" s="182">
        <f t="shared" si="1296"/>
        <v>0</v>
      </c>
      <c r="AD325" s="182"/>
      <c r="AE325" s="182">
        <f t="shared" si="1336"/>
        <v>0</v>
      </c>
      <c r="AF325" s="182"/>
      <c r="AG325" s="182"/>
      <c r="AH325" s="182"/>
      <c r="AI325" s="182">
        <f t="shared" si="1337"/>
        <v>0</v>
      </c>
      <c r="AJ325" s="182"/>
      <c r="AK325" s="182"/>
      <c r="AL325" s="182"/>
      <c r="AM325" s="182"/>
      <c r="AN325" s="182"/>
      <c r="AO325" s="182">
        <f t="shared" si="1338"/>
        <v>0</v>
      </c>
      <c r="AP325" s="182"/>
      <c r="AQ325" s="183">
        <f t="shared" si="1339"/>
        <v>0</v>
      </c>
      <c r="AR325" s="182"/>
      <c r="AS325" s="182">
        <f t="shared" si="1340"/>
        <v>0</v>
      </c>
      <c r="AT325" s="182">
        <v>9</v>
      </c>
      <c r="AU325" s="182">
        <f t="shared" si="1341"/>
        <v>2559289.8807494119</v>
      </c>
      <c r="AV325" s="188"/>
      <c r="AW325" s="182">
        <f t="shared" si="1342"/>
        <v>0</v>
      </c>
      <c r="AX325" s="182"/>
      <c r="AY325" s="187">
        <f t="shared" si="1343"/>
        <v>0</v>
      </c>
      <c r="AZ325" s="182"/>
      <c r="BA325" s="182">
        <f t="shared" si="1344"/>
        <v>0</v>
      </c>
      <c r="BB325" s="182">
        <v>0</v>
      </c>
      <c r="BC325" s="182">
        <f t="shared" si="1345"/>
        <v>0</v>
      </c>
      <c r="BD325" s="182"/>
      <c r="BE325" s="182">
        <f t="shared" si="1346"/>
        <v>0</v>
      </c>
      <c r="BF325" s="182"/>
      <c r="BG325" s="182">
        <f t="shared" si="1347"/>
        <v>0</v>
      </c>
      <c r="BH325" s="182"/>
      <c r="BI325" s="183">
        <f t="shared" si="1348"/>
        <v>0</v>
      </c>
      <c r="BJ325" s="182"/>
      <c r="BK325" s="183">
        <f t="shared" si="1349"/>
        <v>0</v>
      </c>
      <c r="BL325" s="182"/>
      <c r="BM325" s="182">
        <f t="shared" si="1350"/>
        <v>0</v>
      </c>
      <c r="BN325" s="182"/>
      <c r="BO325" s="182">
        <f t="shared" si="1351"/>
        <v>0</v>
      </c>
      <c r="BP325" s="182"/>
      <c r="BQ325" s="182">
        <f t="shared" si="1352"/>
        <v>0</v>
      </c>
      <c r="BR325" s="182"/>
      <c r="BS325" s="183">
        <f t="shared" si="1353"/>
        <v>0</v>
      </c>
      <c r="BT325" s="182"/>
      <c r="BU325" s="182">
        <f t="shared" si="1354"/>
        <v>0</v>
      </c>
      <c r="BV325" s="182"/>
      <c r="BW325" s="182">
        <f t="shared" si="1355"/>
        <v>0</v>
      </c>
      <c r="BX325" s="182"/>
      <c r="BY325" s="183">
        <f t="shared" si="1356"/>
        <v>0</v>
      </c>
      <c r="BZ325" s="182"/>
      <c r="CA325" s="187">
        <f t="shared" si="1357"/>
        <v>0</v>
      </c>
      <c r="CB325" s="182"/>
      <c r="CC325" s="182">
        <f t="shared" si="1358"/>
        <v>0</v>
      </c>
      <c r="CD325" s="182"/>
      <c r="CE325" s="182">
        <f t="shared" si="1359"/>
        <v>0</v>
      </c>
      <c r="CF325" s="182"/>
      <c r="CG325" s="182">
        <f t="shared" si="1360"/>
        <v>0</v>
      </c>
      <c r="CH325" s="182"/>
      <c r="CI325" s="182">
        <f t="shared" si="1361"/>
        <v>0</v>
      </c>
      <c r="CJ325" s="182"/>
      <c r="CK325" s="182"/>
      <c r="CL325" s="182"/>
      <c r="CM325" s="183">
        <f t="shared" si="1362"/>
        <v>0</v>
      </c>
      <c r="CN325" s="182"/>
      <c r="CO325" s="183">
        <f t="shared" si="1363"/>
        <v>0</v>
      </c>
      <c r="CP325" s="182"/>
      <c r="CQ325" s="182">
        <f t="shared" si="1364"/>
        <v>0</v>
      </c>
      <c r="CR325" s="182"/>
      <c r="CS325" s="182">
        <f t="shared" si="1365"/>
        <v>0</v>
      </c>
      <c r="CT325" s="182"/>
      <c r="CU325" s="182">
        <f t="shared" si="1366"/>
        <v>0</v>
      </c>
      <c r="CV325" s="182"/>
      <c r="CW325" s="182">
        <v>0</v>
      </c>
      <c r="CX325" s="182">
        <v>5</v>
      </c>
      <c r="CY325" s="182">
        <f t="shared" si="1367"/>
        <v>1331502.0077701441</v>
      </c>
      <c r="CZ325" s="182"/>
      <c r="DA325" s="182">
        <v>0</v>
      </c>
      <c r="DB325" s="188"/>
      <c r="DC325" s="182">
        <f t="shared" si="1368"/>
        <v>0</v>
      </c>
      <c r="DD325" s="182"/>
      <c r="DE325" s="187"/>
      <c r="DF325" s="182"/>
      <c r="DG325" s="182">
        <f t="shared" si="1369"/>
        <v>0</v>
      </c>
      <c r="DH325" s="189"/>
      <c r="DI325" s="182">
        <f t="shared" ref="DI325:DI326" si="1373">(DH325*$E325*$F325*$G325*$M325*$DI$12)/12*9</f>
        <v>0</v>
      </c>
      <c r="DJ325" s="182"/>
      <c r="DK325" s="182">
        <f t="shared" si="1370"/>
        <v>0</v>
      </c>
      <c r="DL325" s="182"/>
      <c r="DM325" s="182">
        <f t="shared" si="1371"/>
        <v>0</v>
      </c>
      <c r="DN325" s="182">
        <f>ROUND(1*0.75,0)</f>
        <v>1</v>
      </c>
      <c r="DO325" s="190">
        <f t="shared" si="1372"/>
        <v>377483.30648000003</v>
      </c>
      <c r="DP325" s="187"/>
      <c r="DQ325" s="187"/>
      <c r="DR325" s="183">
        <f t="shared" si="1291"/>
        <v>116</v>
      </c>
      <c r="DS325" s="183">
        <f t="shared" si="1291"/>
        <v>27114093.673559558</v>
      </c>
      <c r="DT325" s="182">
        <v>104</v>
      </c>
      <c r="DU325" s="182">
        <v>24241184.786559999</v>
      </c>
      <c r="DV325" s="167">
        <f t="shared" si="1035"/>
        <v>12</v>
      </c>
      <c r="DW325" s="167">
        <f t="shared" si="1035"/>
        <v>2872908.8869995587</v>
      </c>
    </row>
    <row r="326" spans="1:127" ht="26.25" customHeight="1" x14ac:dyDescent="0.25">
      <c r="A326" s="154"/>
      <c r="B326" s="176">
        <v>282</v>
      </c>
      <c r="C326" s="177" t="s">
        <v>727</v>
      </c>
      <c r="D326" s="210" t="s">
        <v>728</v>
      </c>
      <c r="E326" s="158">
        <v>25969</v>
      </c>
      <c r="F326" s="179">
        <v>4.46</v>
      </c>
      <c r="G326" s="243">
        <v>0.8</v>
      </c>
      <c r="H326" s="242"/>
      <c r="I326" s="242"/>
      <c r="J326" s="242"/>
      <c r="K326" s="106"/>
      <c r="L326" s="180">
        <v>1.4</v>
      </c>
      <c r="M326" s="180">
        <v>1.68</v>
      </c>
      <c r="N326" s="180">
        <v>2.23</v>
      </c>
      <c r="O326" s="181">
        <v>2.57</v>
      </c>
      <c r="P326" s="182">
        <v>50</v>
      </c>
      <c r="Q326" s="182">
        <f t="shared" si="1332"/>
        <v>7134619.1840000013</v>
      </c>
      <c r="R326" s="182">
        <v>240</v>
      </c>
      <c r="S326" s="182">
        <f t="shared" si="1333"/>
        <v>34246172.083200008</v>
      </c>
      <c r="T326" s="182"/>
      <c r="U326" s="182">
        <f t="shared" si="1334"/>
        <v>0</v>
      </c>
      <c r="V326" s="182"/>
      <c r="W326" s="183">
        <f t="shared" si="1335"/>
        <v>0</v>
      </c>
      <c r="X326" s="183"/>
      <c r="Y326" s="183">
        <v>0</v>
      </c>
      <c r="Z326" s="183"/>
      <c r="AA326" s="183">
        <v>0</v>
      </c>
      <c r="AB326" s="182">
        <f t="shared" si="1296"/>
        <v>0</v>
      </c>
      <c r="AC326" s="182">
        <f t="shared" si="1296"/>
        <v>0</v>
      </c>
      <c r="AD326" s="182"/>
      <c r="AE326" s="182">
        <f t="shared" si="1336"/>
        <v>0</v>
      </c>
      <c r="AF326" s="182"/>
      <c r="AG326" s="182"/>
      <c r="AH326" s="182"/>
      <c r="AI326" s="182">
        <f t="shared" si="1337"/>
        <v>0</v>
      </c>
      <c r="AJ326" s="182"/>
      <c r="AK326" s="182"/>
      <c r="AL326" s="182"/>
      <c r="AM326" s="182"/>
      <c r="AN326" s="182"/>
      <c r="AO326" s="182">
        <f t="shared" si="1338"/>
        <v>0</v>
      </c>
      <c r="AP326" s="182"/>
      <c r="AQ326" s="183">
        <f t="shared" si="1339"/>
        <v>0</v>
      </c>
      <c r="AR326" s="182"/>
      <c r="AS326" s="182">
        <f t="shared" si="1340"/>
        <v>0</v>
      </c>
      <c r="AT326" s="182"/>
      <c r="AU326" s="182">
        <f t="shared" si="1341"/>
        <v>0</v>
      </c>
      <c r="AV326" s="188"/>
      <c r="AW326" s="182">
        <f t="shared" si="1342"/>
        <v>0</v>
      </c>
      <c r="AX326" s="182"/>
      <c r="AY326" s="187">
        <f t="shared" si="1343"/>
        <v>0</v>
      </c>
      <c r="AZ326" s="182"/>
      <c r="BA326" s="182">
        <f t="shared" si="1344"/>
        <v>0</v>
      </c>
      <c r="BB326" s="182">
        <v>0</v>
      </c>
      <c r="BC326" s="182">
        <f t="shared" si="1345"/>
        <v>0</v>
      </c>
      <c r="BD326" s="182"/>
      <c r="BE326" s="182">
        <f t="shared" si="1346"/>
        <v>0</v>
      </c>
      <c r="BF326" s="182"/>
      <c r="BG326" s="182">
        <f t="shared" si="1347"/>
        <v>0</v>
      </c>
      <c r="BH326" s="182"/>
      <c r="BI326" s="183">
        <f t="shared" si="1348"/>
        <v>0</v>
      </c>
      <c r="BJ326" s="182"/>
      <c r="BK326" s="183">
        <f t="shared" si="1349"/>
        <v>0</v>
      </c>
      <c r="BL326" s="182"/>
      <c r="BM326" s="182">
        <f t="shared" si="1350"/>
        <v>0</v>
      </c>
      <c r="BN326" s="182"/>
      <c r="BO326" s="182">
        <f t="shared" si="1351"/>
        <v>0</v>
      </c>
      <c r="BP326" s="182"/>
      <c r="BQ326" s="182">
        <f t="shared" si="1352"/>
        <v>0</v>
      </c>
      <c r="BR326" s="182"/>
      <c r="BS326" s="183">
        <f t="shared" si="1353"/>
        <v>0</v>
      </c>
      <c r="BT326" s="182"/>
      <c r="BU326" s="182">
        <f t="shared" si="1354"/>
        <v>0</v>
      </c>
      <c r="BV326" s="182"/>
      <c r="BW326" s="182">
        <f t="shared" si="1355"/>
        <v>0</v>
      </c>
      <c r="BX326" s="182">
        <v>0</v>
      </c>
      <c r="BY326" s="183">
        <f t="shared" si="1356"/>
        <v>0</v>
      </c>
      <c r="BZ326" s="182"/>
      <c r="CA326" s="187">
        <f t="shared" si="1357"/>
        <v>0</v>
      </c>
      <c r="CB326" s="182"/>
      <c r="CC326" s="182">
        <f t="shared" si="1358"/>
        <v>0</v>
      </c>
      <c r="CD326" s="182"/>
      <c r="CE326" s="182">
        <f t="shared" si="1359"/>
        <v>0</v>
      </c>
      <c r="CF326" s="182"/>
      <c r="CG326" s="182">
        <f t="shared" si="1360"/>
        <v>0</v>
      </c>
      <c r="CH326" s="182"/>
      <c r="CI326" s="182">
        <f t="shared" si="1361"/>
        <v>0</v>
      </c>
      <c r="CJ326" s="182"/>
      <c r="CK326" s="182"/>
      <c r="CL326" s="182"/>
      <c r="CM326" s="183">
        <f t="shared" si="1362"/>
        <v>0</v>
      </c>
      <c r="CN326" s="182"/>
      <c r="CO326" s="183">
        <f t="shared" si="1363"/>
        <v>0</v>
      </c>
      <c r="CP326" s="182"/>
      <c r="CQ326" s="182">
        <f t="shared" si="1364"/>
        <v>0</v>
      </c>
      <c r="CR326" s="182"/>
      <c r="CS326" s="182">
        <f t="shared" si="1365"/>
        <v>0</v>
      </c>
      <c r="CT326" s="182"/>
      <c r="CU326" s="182">
        <f t="shared" si="1366"/>
        <v>0</v>
      </c>
      <c r="CV326" s="182"/>
      <c r="CW326" s="182">
        <v>0</v>
      </c>
      <c r="CX326" s="182"/>
      <c r="CY326" s="182">
        <f t="shared" si="1367"/>
        <v>0</v>
      </c>
      <c r="CZ326" s="182"/>
      <c r="DA326" s="182">
        <v>0</v>
      </c>
      <c r="DB326" s="188"/>
      <c r="DC326" s="182">
        <f t="shared" si="1368"/>
        <v>0</v>
      </c>
      <c r="DD326" s="182"/>
      <c r="DE326" s="187"/>
      <c r="DF326" s="182"/>
      <c r="DG326" s="182">
        <f t="shared" si="1369"/>
        <v>0</v>
      </c>
      <c r="DH326" s="189"/>
      <c r="DI326" s="182">
        <f t="shared" si="1373"/>
        <v>0</v>
      </c>
      <c r="DJ326" s="182"/>
      <c r="DK326" s="182">
        <f t="shared" si="1370"/>
        <v>0</v>
      </c>
      <c r="DL326" s="182"/>
      <c r="DM326" s="182">
        <f t="shared" si="1371"/>
        <v>0</v>
      </c>
      <c r="DN326" s="182"/>
      <c r="DO326" s="190">
        <f t="shared" si="1372"/>
        <v>0</v>
      </c>
      <c r="DP326" s="187"/>
      <c r="DQ326" s="187"/>
      <c r="DR326" s="183">
        <f t="shared" si="1291"/>
        <v>290</v>
      </c>
      <c r="DS326" s="183">
        <f t="shared" si="1291"/>
        <v>41380791.267200008</v>
      </c>
      <c r="DT326" s="182">
        <v>310</v>
      </c>
      <c r="DU326" s="182">
        <v>44234638.940800004</v>
      </c>
      <c r="DV326" s="167">
        <f t="shared" si="1035"/>
        <v>-20</v>
      </c>
      <c r="DW326" s="167">
        <f t="shared" si="1035"/>
        <v>-2853847.6735999957</v>
      </c>
    </row>
    <row r="327" spans="1:127" ht="30" customHeight="1" x14ac:dyDescent="0.25">
      <c r="A327" s="154"/>
      <c r="B327" s="176">
        <v>283</v>
      </c>
      <c r="C327" s="177" t="s">
        <v>729</v>
      </c>
      <c r="D327" s="210" t="s">
        <v>730</v>
      </c>
      <c r="E327" s="158">
        <v>25969</v>
      </c>
      <c r="F327" s="179">
        <v>0.79</v>
      </c>
      <c r="G327" s="168">
        <v>1</v>
      </c>
      <c r="H327" s="169"/>
      <c r="I327" s="169"/>
      <c r="J327" s="169"/>
      <c r="K327" s="106"/>
      <c r="L327" s="180">
        <v>1.4</v>
      </c>
      <c r="M327" s="180">
        <v>1.68</v>
      </c>
      <c r="N327" s="180">
        <v>2.23</v>
      </c>
      <c r="O327" s="181">
        <v>2.57</v>
      </c>
      <c r="P327" s="182">
        <v>75</v>
      </c>
      <c r="Q327" s="182">
        <f t="shared" si="1332"/>
        <v>2369541.4049999998</v>
      </c>
      <c r="R327" s="182">
        <v>130</v>
      </c>
      <c r="S327" s="182">
        <f t="shared" si="1333"/>
        <v>4107205.1020000009</v>
      </c>
      <c r="T327" s="182">
        <v>50</v>
      </c>
      <c r="U327" s="182">
        <f t="shared" si="1334"/>
        <v>1813058.19625</v>
      </c>
      <c r="V327" s="182"/>
      <c r="W327" s="183">
        <f t="shared" si="1335"/>
        <v>0</v>
      </c>
      <c r="X327" s="183"/>
      <c r="Y327" s="183">
        <v>0</v>
      </c>
      <c r="Z327" s="183"/>
      <c r="AA327" s="183">
        <v>0</v>
      </c>
      <c r="AB327" s="182">
        <f t="shared" si="1296"/>
        <v>0</v>
      </c>
      <c r="AC327" s="182">
        <f t="shared" si="1296"/>
        <v>0</v>
      </c>
      <c r="AD327" s="182"/>
      <c r="AE327" s="182">
        <f t="shared" si="1336"/>
        <v>0</v>
      </c>
      <c r="AF327" s="182"/>
      <c r="AG327" s="182"/>
      <c r="AH327" s="182">
        <v>20</v>
      </c>
      <c r="AI327" s="182">
        <f t="shared" si="1337"/>
        <v>631877.7080000001</v>
      </c>
      <c r="AJ327" s="182"/>
      <c r="AK327" s="182"/>
      <c r="AL327" s="182"/>
      <c r="AM327" s="182"/>
      <c r="AN327" s="182">
        <v>9</v>
      </c>
      <c r="AO327" s="182">
        <f t="shared" si="1338"/>
        <v>284344.96860000002</v>
      </c>
      <c r="AP327" s="182">
        <v>1</v>
      </c>
      <c r="AQ327" s="183">
        <f t="shared" si="1339"/>
        <v>31593.885400000003</v>
      </c>
      <c r="AR327" s="182">
        <v>8</v>
      </c>
      <c r="AS327" s="182">
        <f t="shared" si="1340"/>
        <v>272852.45343813335</v>
      </c>
      <c r="AT327" s="182">
        <v>99</v>
      </c>
      <c r="AU327" s="182">
        <f t="shared" si="1341"/>
        <v>3932147.995705869</v>
      </c>
      <c r="AV327" s="188"/>
      <c r="AW327" s="182">
        <f t="shared" si="1342"/>
        <v>0</v>
      </c>
      <c r="AX327" s="182">
        <v>2</v>
      </c>
      <c r="AY327" s="187">
        <f t="shared" si="1343"/>
        <v>75825.324960000013</v>
      </c>
      <c r="AZ327" s="182"/>
      <c r="BA327" s="182">
        <f t="shared" si="1344"/>
        <v>0</v>
      </c>
      <c r="BB327" s="182"/>
      <c r="BC327" s="182">
        <f t="shared" si="1345"/>
        <v>0</v>
      </c>
      <c r="BD327" s="182"/>
      <c r="BE327" s="182">
        <f t="shared" si="1346"/>
        <v>0</v>
      </c>
      <c r="BF327" s="182"/>
      <c r="BG327" s="182">
        <f t="shared" si="1347"/>
        <v>0</v>
      </c>
      <c r="BH327" s="182"/>
      <c r="BI327" s="183">
        <f t="shared" si="1348"/>
        <v>0</v>
      </c>
      <c r="BJ327" s="182"/>
      <c r="BK327" s="183">
        <f t="shared" si="1349"/>
        <v>0</v>
      </c>
      <c r="BL327" s="182"/>
      <c r="BM327" s="182">
        <f t="shared" si="1350"/>
        <v>0</v>
      </c>
      <c r="BN327" s="182">
        <v>101</v>
      </c>
      <c r="BO327" s="182">
        <f t="shared" si="1351"/>
        <v>3829178.9104800005</v>
      </c>
      <c r="BP327" s="182"/>
      <c r="BQ327" s="182">
        <f t="shared" si="1352"/>
        <v>0</v>
      </c>
      <c r="BR327" s="182"/>
      <c r="BS327" s="183">
        <f t="shared" si="1353"/>
        <v>0</v>
      </c>
      <c r="BT327" s="182">
        <v>20</v>
      </c>
      <c r="BU327" s="182">
        <f t="shared" si="1354"/>
        <v>767904.66459884797</v>
      </c>
      <c r="BV327" s="182"/>
      <c r="BW327" s="182">
        <f t="shared" si="1355"/>
        <v>0</v>
      </c>
      <c r="BX327" s="182">
        <v>20</v>
      </c>
      <c r="BY327" s="183">
        <f t="shared" si="1356"/>
        <v>929673.62970048003</v>
      </c>
      <c r="BZ327" s="182">
        <v>65</v>
      </c>
      <c r="CA327" s="187">
        <f t="shared" si="1357"/>
        <v>2927895.8334171004</v>
      </c>
      <c r="CB327" s="182"/>
      <c r="CC327" s="182">
        <f t="shared" si="1358"/>
        <v>0</v>
      </c>
      <c r="CD327" s="182"/>
      <c r="CE327" s="182">
        <f t="shared" si="1359"/>
        <v>0</v>
      </c>
      <c r="CF327" s="182"/>
      <c r="CG327" s="182">
        <f t="shared" si="1360"/>
        <v>0</v>
      </c>
      <c r="CH327" s="182">
        <v>3</v>
      </c>
      <c r="CI327" s="182">
        <f t="shared" si="1361"/>
        <v>115230.540029724</v>
      </c>
      <c r="CJ327" s="182"/>
      <c r="CK327" s="182"/>
      <c r="CL327" s="182"/>
      <c r="CM327" s="183">
        <f t="shared" si="1362"/>
        <v>0</v>
      </c>
      <c r="CN327" s="182">
        <v>1</v>
      </c>
      <c r="CO327" s="183">
        <f t="shared" si="1363"/>
        <v>22977.371200000001</v>
      </c>
      <c r="CP327" s="182">
        <v>6</v>
      </c>
      <c r="CQ327" s="182">
        <f t="shared" si="1364"/>
        <v>190997.10036288004</v>
      </c>
      <c r="CR327" s="182">
        <v>25</v>
      </c>
      <c r="CS327" s="182">
        <f t="shared" si="1365"/>
        <v>860838.83484141668</v>
      </c>
      <c r="CT327" s="182">
        <v>6</v>
      </c>
      <c r="CU327" s="182">
        <f t="shared" si="1366"/>
        <v>180910.60884036002</v>
      </c>
      <c r="CV327" s="182">
        <v>49</v>
      </c>
      <c r="CW327" s="182">
        <v>1678497.1200000015</v>
      </c>
      <c r="CX327" s="182">
        <v>10</v>
      </c>
      <c r="CY327" s="182">
        <f t="shared" si="1367"/>
        <v>371954.23837992008</v>
      </c>
      <c r="CZ327" s="182"/>
      <c r="DA327" s="182">
        <v>0</v>
      </c>
      <c r="DB327" s="188"/>
      <c r="DC327" s="182">
        <f t="shared" si="1368"/>
        <v>0</v>
      </c>
      <c r="DD327" s="182"/>
      <c r="DE327" s="187"/>
      <c r="DF327" s="182"/>
      <c r="DG327" s="182">
        <f t="shared" si="1369"/>
        <v>0</v>
      </c>
      <c r="DH327" s="189">
        <f>ROUND(1*0.75,0)</f>
        <v>1</v>
      </c>
      <c r="DI327" s="182">
        <f>(DH327*$E327*$F327*$G327*$M327*$DI$12)</f>
        <v>34466.056800000006</v>
      </c>
      <c r="DJ327" s="182">
        <v>9</v>
      </c>
      <c r="DK327" s="182">
        <f t="shared" si="1370"/>
        <v>338016.37390038004</v>
      </c>
      <c r="DL327" s="182"/>
      <c r="DM327" s="182">
        <f t="shared" si="1371"/>
        <v>0</v>
      </c>
      <c r="DN327" s="182">
        <f>ROUND(5*0.75,0)</f>
        <v>4</v>
      </c>
      <c r="DO327" s="190">
        <f t="shared" si="1372"/>
        <v>210899.44280000002</v>
      </c>
      <c r="DP327" s="187"/>
      <c r="DQ327" s="187"/>
      <c r="DR327" s="183">
        <f t="shared" si="1291"/>
        <v>714</v>
      </c>
      <c r="DS327" s="183">
        <f t="shared" si="1291"/>
        <v>25977887.76470511</v>
      </c>
      <c r="DT327" s="182">
        <v>706</v>
      </c>
      <c r="DU327" s="182">
        <v>24992473.131073337</v>
      </c>
      <c r="DV327" s="167">
        <f t="shared" si="1035"/>
        <v>8</v>
      </c>
      <c r="DW327" s="167">
        <f t="shared" si="1035"/>
        <v>985414.63363177329</v>
      </c>
    </row>
    <row r="328" spans="1:127" ht="30" customHeight="1" x14ac:dyDescent="0.25">
      <c r="A328" s="154"/>
      <c r="B328" s="176">
        <v>284</v>
      </c>
      <c r="C328" s="177" t="s">
        <v>731</v>
      </c>
      <c r="D328" s="210" t="s">
        <v>732</v>
      </c>
      <c r="E328" s="158">
        <v>25969</v>
      </c>
      <c r="F328" s="179">
        <v>0.93</v>
      </c>
      <c r="G328" s="168">
        <v>1</v>
      </c>
      <c r="H328" s="169"/>
      <c r="I328" s="169"/>
      <c r="J328" s="169"/>
      <c r="K328" s="106"/>
      <c r="L328" s="180">
        <v>1.4</v>
      </c>
      <c r="M328" s="180">
        <v>1.68</v>
      </c>
      <c r="N328" s="180">
        <v>2.23</v>
      </c>
      <c r="O328" s="181">
        <v>2.57</v>
      </c>
      <c r="P328" s="182">
        <v>77</v>
      </c>
      <c r="Q328" s="182">
        <f t="shared" si="1332"/>
        <v>2863845.7386000003</v>
      </c>
      <c r="R328" s="182">
        <v>37</v>
      </c>
      <c r="S328" s="182">
        <f t="shared" si="1333"/>
        <v>1376133.6666000001</v>
      </c>
      <c r="T328" s="182">
        <v>240</v>
      </c>
      <c r="U328" s="182">
        <f t="shared" si="1334"/>
        <v>10244926.314000001</v>
      </c>
      <c r="V328" s="182"/>
      <c r="W328" s="183">
        <f t="shared" si="1335"/>
        <v>0</v>
      </c>
      <c r="X328" s="183"/>
      <c r="Y328" s="183">
        <v>0</v>
      </c>
      <c r="Z328" s="183"/>
      <c r="AA328" s="183">
        <v>0</v>
      </c>
      <c r="AB328" s="182">
        <f t="shared" si="1296"/>
        <v>0</v>
      </c>
      <c r="AC328" s="182">
        <f t="shared" si="1296"/>
        <v>0</v>
      </c>
      <c r="AD328" s="182"/>
      <c r="AE328" s="182">
        <f t="shared" si="1336"/>
        <v>0</v>
      </c>
      <c r="AF328" s="182"/>
      <c r="AG328" s="182"/>
      <c r="AH328" s="182"/>
      <c r="AI328" s="182">
        <f t="shared" si="1337"/>
        <v>0</v>
      </c>
      <c r="AJ328" s="182"/>
      <c r="AK328" s="182"/>
      <c r="AL328" s="182"/>
      <c r="AM328" s="182"/>
      <c r="AN328" s="182">
        <v>96</v>
      </c>
      <c r="AO328" s="182">
        <v>3561210.5999999945</v>
      </c>
      <c r="AP328" s="182"/>
      <c r="AQ328" s="183">
        <f t="shared" si="1339"/>
        <v>0</v>
      </c>
      <c r="AR328" s="182"/>
      <c r="AS328" s="182">
        <f t="shared" si="1340"/>
        <v>0</v>
      </c>
      <c r="AT328" s="182">
        <f>290+11</f>
        <v>301</v>
      </c>
      <c r="AU328" s="182">
        <f t="shared" si="1341"/>
        <v>14073982.718807617</v>
      </c>
      <c r="AV328" s="186"/>
      <c r="AW328" s="182">
        <f t="shared" si="1342"/>
        <v>0</v>
      </c>
      <c r="AX328" s="182"/>
      <c r="AY328" s="187">
        <f t="shared" si="1343"/>
        <v>0</v>
      </c>
      <c r="AZ328" s="182"/>
      <c r="BA328" s="182">
        <f t="shared" si="1344"/>
        <v>0</v>
      </c>
      <c r="BB328" s="182"/>
      <c r="BC328" s="182">
        <f t="shared" si="1345"/>
        <v>0</v>
      </c>
      <c r="BD328" s="182"/>
      <c r="BE328" s="182">
        <f t="shared" si="1346"/>
        <v>0</v>
      </c>
      <c r="BF328" s="182"/>
      <c r="BG328" s="182">
        <f t="shared" si="1347"/>
        <v>0</v>
      </c>
      <c r="BH328" s="182"/>
      <c r="BI328" s="183">
        <f t="shared" si="1348"/>
        <v>0</v>
      </c>
      <c r="BJ328" s="182"/>
      <c r="BK328" s="183">
        <f t="shared" si="1349"/>
        <v>0</v>
      </c>
      <c r="BL328" s="182"/>
      <c r="BM328" s="182">
        <f t="shared" si="1350"/>
        <v>0</v>
      </c>
      <c r="BN328" s="182">
        <v>16</v>
      </c>
      <c r="BO328" s="182">
        <f t="shared" si="1351"/>
        <v>714101.79456000007</v>
      </c>
      <c r="BP328" s="182"/>
      <c r="BQ328" s="182">
        <f t="shared" si="1352"/>
        <v>0</v>
      </c>
      <c r="BR328" s="182"/>
      <c r="BS328" s="183">
        <f t="shared" si="1353"/>
        <v>0</v>
      </c>
      <c r="BT328" s="182">
        <v>10</v>
      </c>
      <c r="BU328" s="182">
        <f t="shared" si="1354"/>
        <v>451994.51777020801</v>
      </c>
      <c r="BV328" s="182"/>
      <c r="BW328" s="182">
        <f t="shared" si="1355"/>
        <v>0</v>
      </c>
      <c r="BX328" s="182">
        <v>0</v>
      </c>
      <c r="BY328" s="183">
        <f t="shared" si="1356"/>
        <v>0</v>
      </c>
      <c r="BZ328" s="182">
        <v>20</v>
      </c>
      <c r="CA328" s="187">
        <f t="shared" si="1357"/>
        <v>1060542.5998356</v>
      </c>
      <c r="CB328" s="182"/>
      <c r="CC328" s="182">
        <f t="shared" si="1358"/>
        <v>0</v>
      </c>
      <c r="CD328" s="182"/>
      <c r="CE328" s="182">
        <f t="shared" si="1359"/>
        <v>0</v>
      </c>
      <c r="CF328" s="182"/>
      <c r="CG328" s="182">
        <f t="shared" si="1360"/>
        <v>0</v>
      </c>
      <c r="CH328" s="182">
        <v>3</v>
      </c>
      <c r="CI328" s="182">
        <f t="shared" si="1361"/>
        <v>135651.14206030802</v>
      </c>
      <c r="CJ328" s="182"/>
      <c r="CK328" s="182"/>
      <c r="CL328" s="182"/>
      <c r="CM328" s="183">
        <f t="shared" si="1362"/>
        <v>0</v>
      </c>
      <c r="CN328" s="182"/>
      <c r="CO328" s="183">
        <f t="shared" si="1363"/>
        <v>0</v>
      </c>
      <c r="CP328" s="182"/>
      <c r="CQ328" s="182">
        <f t="shared" si="1364"/>
        <v>0</v>
      </c>
      <c r="CR328" s="182">
        <v>14</v>
      </c>
      <c r="CS328" s="182">
        <f t="shared" si="1365"/>
        <v>567499.82934862003</v>
      </c>
      <c r="CT328" s="182">
        <v>2</v>
      </c>
      <c r="CU328" s="182">
        <f t="shared" si="1366"/>
        <v>70990.238912040004</v>
      </c>
      <c r="CV328" s="182">
        <v>14</v>
      </c>
      <c r="CW328" s="182">
        <v>561949.47999999986</v>
      </c>
      <c r="CX328" s="182">
        <v>7</v>
      </c>
      <c r="CY328" s="182">
        <f t="shared" si="1367"/>
        <v>306509.12555104808</v>
      </c>
      <c r="CZ328" s="182"/>
      <c r="DA328" s="182">
        <v>0</v>
      </c>
      <c r="DB328" s="188"/>
      <c r="DC328" s="182">
        <f t="shared" si="1368"/>
        <v>0</v>
      </c>
      <c r="DD328" s="182"/>
      <c r="DE328" s="187"/>
      <c r="DF328" s="182"/>
      <c r="DG328" s="182">
        <f t="shared" si="1369"/>
        <v>0</v>
      </c>
      <c r="DH328" s="189"/>
      <c r="DI328" s="182">
        <f t="shared" ref="DI328:DI329" si="1374">(DH328*$E328*$F328*$G328*$M328*$DI$12)</f>
        <v>0</v>
      </c>
      <c r="DJ328" s="182"/>
      <c r="DK328" s="182">
        <f t="shared" si="1370"/>
        <v>0</v>
      </c>
      <c r="DL328" s="182"/>
      <c r="DM328" s="182">
        <f t="shared" si="1371"/>
        <v>0</v>
      </c>
      <c r="DN328" s="182">
        <f>ROUND(1*0.75,0)</f>
        <v>1</v>
      </c>
      <c r="DO328" s="190">
        <f t="shared" si="1372"/>
        <v>62068.5069</v>
      </c>
      <c r="DP328" s="187"/>
      <c r="DQ328" s="187"/>
      <c r="DR328" s="183">
        <f t="shared" si="1291"/>
        <v>838</v>
      </c>
      <c r="DS328" s="183">
        <f t="shared" si="1291"/>
        <v>36051406.272945434</v>
      </c>
      <c r="DT328" s="182">
        <v>836</v>
      </c>
      <c r="DU328" s="182">
        <v>35303318.798359998</v>
      </c>
      <c r="DV328" s="167">
        <f t="shared" si="1035"/>
        <v>2</v>
      </c>
      <c r="DW328" s="167">
        <f t="shared" si="1035"/>
        <v>748087.47458543628</v>
      </c>
    </row>
    <row r="329" spans="1:127" ht="30" customHeight="1" x14ac:dyDescent="0.25">
      <c r="A329" s="154"/>
      <c r="B329" s="176">
        <v>285</v>
      </c>
      <c r="C329" s="177" t="s">
        <v>733</v>
      </c>
      <c r="D329" s="210" t="s">
        <v>734</v>
      </c>
      <c r="E329" s="158">
        <v>25969</v>
      </c>
      <c r="F329" s="179">
        <v>1.37</v>
      </c>
      <c r="G329" s="168">
        <v>1</v>
      </c>
      <c r="H329" s="169"/>
      <c r="I329" s="169"/>
      <c r="J329" s="169"/>
      <c r="K329" s="106"/>
      <c r="L329" s="180">
        <v>1.4</v>
      </c>
      <c r="M329" s="180">
        <v>1.68</v>
      </c>
      <c r="N329" s="180">
        <v>2.23</v>
      </c>
      <c r="O329" s="181">
        <v>2.57</v>
      </c>
      <c r="P329" s="267">
        <v>240</v>
      </c>
      <c r="Q329" s="182">
        <f t="shared" si="1332"/>
        <v>13149455.088000001</v>
      </c>
      <c r="R329" s="182">
        <v>1125</v>
      </c>
      <c r="S329" s="182">
        <f t="shared" si="1333"/>
        <v>61638070.725000001</v>
      </c>
      <c r="T329" s="182">
        <v>239</v>
      </c>
      <c r="U329" s="182">
        <f t="shared" si="1334"/>
        <v>15029104.941725001</v>
      </c>
      <c r="V329" s="182"/>
      <c r="W329" s="183">
        <f t="shared" si="1335"/>
        <v>0</v>
      </c>
      <c r="X329" s="183"/>
      <c r="Y329" s="183">
        <v>0</v>
      </c>
      <c r="Z329" s="183"/>
      <c r="AA329" s="183">
        <v>0</v>
      </c>
      <c r="AB329" s="182">
        <f t="shared" si="1296"/>
        <v>0</v>
      </c>
      <c r="AC329" s="182">
        <f t="shared" si="1296"/>
        <v>0</v>
      </c>
      <c r="AD329" s="182"/>
      <c r="AE329" s="182">
        <f t="shared" si="1336"/>
        <v>0</v>
      </c>
      <c r="AF329" s="182"/>
      <c r="AG329" s="182"/>
      <c r="AH329" s="182">
        <v>55</v>
      </c>
      <c r="AI329" s="182">
        <f t="shared" si="1337"/>
        <v>3013416.7910000002</v>
      </c>
      <c r="AJ329" s="182"/>
      <c r="AK329" s="182"/>
      <c r="AL329" s="182"/>
      <c r="AM329" s="182"/>
      <c r="AN329" s="182">
        <v>30</v>
      </c>
      <c r="AO329" s="182">
        <f t="shared" si="1338"/>
        <v>1643681.8860000002</v>
      </c>
      <c r="AP329" s="182">
        <f>25-8</f>
        <v>17</v>
      </c>
      <c r="AQ329" s="183">
        <f t="shared" si="1339"/>
        <v>931419.73540000001</v>
      </c>
      <c r="AR329" s="182">
        <v>87</v>
      </c>
      <c r="AS329" s="182">
        <f t="shared" si="1340"/>
        <v>5145772.7729891008</v>
      </c>
      <c r="AT329" s="182">
        <v>210</v>
      </c>
      <c r="AU329" s="182">
        <f t="shared" si="1341"/>
        <v>14464633.40192531</v>
      </c>
      <c r="AV329" s="188"/>
      <c r="AW329" s="182">
        <f t="shared" si="1342"/>
        <v>0</v>
      </c>
      <c r="AX329" s="182"/>
      <c r="AY329" s="187">
        <f t="shared" si="1343"/>
        <v>0</v>
      </c>
      <c r="AZ329" s="182"/>
      <c r="BA329" s="182">
        <f t="shared" si="1344"/>
        <v>0</v>
      </c>
      <c r="BB329" s="182"/>
      <c r="BC329" s="182">
        <f t="shared" si="1345"/>
        <v>0</v>
      </c>
      <c r="BD329" s="182"/>
      <c r="BE329" s="182">
        <f t="shared" si="1346"/>
        <v>0</v>
      </c>
      <c r="BF329" s="182"/>
      <c r="BG329" s="182">
        <f t="shared" si="1347"/>
        <v>0</v>
      </c>
      <c r="BH329" s="182"/>
      <c r="BI329" s="183">
        <f t="shared" si="1348"/>
        <v>0</v>
      </c>
      <c r="BJ329" s="182"/>
      <c r="BK329" s="183">
        <f t="shared" si="1349"/>
        <v>0</v>
      </c>
      <c r="BL329" s="182"/>
      <c r="BM329" s="182">
        <f t="shared" si="1350"/>
        <v>0</v>
      </c>
      <c r="BN329" s="182">
        <v>106</v>
      </c>
      <c r="BO329" s="182">
        <f t="shared" si="1351"/>
        <v>6969211.1966400007</v>
      </c>
      <c r="BP329" s="182"/>
      <c r="BQ329" s="182">
        <f t="shared" si="1352"/>
        <v>0</v>
      </c>
      <c r="BR329" s="182"/>
      <c r="BS329" s="183">
        <f t="shared" si="1353"/>
        <v>0</v>
      </c>
      <c r="BT329" s="182">
        <v>14</v>
      </c>
      <c r="BU329" s="182">
        <f t="shared" si="1354"/>
        <v>932177.94094974094</v>
      </c>
      <c r="BV329" s="182"/>
      <c r="BW329" s="182">
        <f t="shared" si="1355"/>
        <v>0</v>
      </c>
      <c r="BX329" s="182">
        <v>12</v>
      </c>
      <c r="BY329" s="183">
        <f t="shared" si="1356"/>
        <v>967331.2957136638</v>
      </c>
      <c r="BZ329" s="182">
        <v>42</v>
      </c>
      <c r="CA329" s="187">
        <f t="shared" si="1357"/>
        <v>3280839.8491688399</v>
      </c>
      <c r="CB329" s="182"/>
      <c r="CC329" s="182">
        <f t="shared" si="1358"/>
        <v>0</v>
      </c>
      <c r="CD329" s="182"/>
      <c r="CE329" s="182">
        <f t="shared" si="1359"/>
        <v>0</v>
      </c>
      <c r="CF329" s="182"/>
      <c r="CG329" s="182">
        <f t="shared" si="1360"/>
        <v>0</v>
      </c>
      <c r="CH329" s="182">
        <v>4</v>
      </c>
      <c r="CI329" s="182">
        <f t="shared" si="1361"/>
        <v>266440.23601809604</v>
      </c>
      <c r="CJ329" s="182"/>
      <c r="CK329" s="182"/>
      <c r="CL329" s="182"/>
      <c r="CM329" s="183">
        <f t="shared" si="1362"/>
        <v>0</v>
      </c>
      <c r="CN329" s="182">
        <v>15</v>
      </c>
      <c r="CO329" s="183">
        <f t="shared" si="1363"/>
        <v>597702.50400000007</v>
      </c>
      <c r="CP329" s="182">
        <v>10</v>
      </c>
      <c r="CQ329" s="182">
        <f t="shared" si="1364"/>
        <v>552038.03269440006</v>
      </c>
      <c r="CR329" s="182">
        <v>17</v>
      </c>
      <c r="CS329" s="182">
        <f t="shared" si="1365"/>
        <v>1015136.0234661566</v>
      </c>
      <c r="CT329" s="182">
        <v>27</v>
      </c>
      <c r="CU329" s="182">
        <f t="shared" si="1366"/>
        <v>1411789.7512668599</v>
      </c>
      <c r="CV329" s="182">
        <v>35</v>
      </c>
      <c r="CW329" s="182">
        <v>2085981.73</v>
      </c>
      <c r="CX329" s="182">
        <v>2</v>
      </c>
      <c r="CY329" s="182">
        <f t="shared" si="1367"/>
        <v>129006.91305835199</v>
      </c>
      <c r="CZ329" s="182"/>
      <c r="DA329" s="182">
        <v>0</v>
      </c>
      <c r="DB329" s="188"/>
      <c r="DC329" s="182">
        <f t="shared" si="1368"/>
        <v>0</v>
      </c>
      <c r="DD329" s="182"/>
      <c r="DE329" s="187"/>
      <c r="DF329" s="182"/>
      <c r="DG329" s="182">
        <f t="shared" si="1369"/>
        <v>0</v>
      </c>
      <c r="DH329" s="189"/>
      <c r="DI329" s="182">
        <f t="shared" si="1374"/>
        <v>0</v>
      </c>
      <c r="DJ329" s="182">
        <v>3</v>
      </c>
      <c r="DK329" s="182">
        <f t="shared" si="1370"/>
        <v>195393.43132638</v>
      </c>
      <c r="DL329" s="182"/>
      <c r="DM329" s="182">
        <f t="shared" si="1371"/>
        <v>0</v>
      </c>
      <c r="DN329" s="182"/>
      <c r="DO329" s="190">
        <f t="shared" si="1372"/>
        <v>0</v>
      </c>
      <c r="DP329" s="187"/>
      <c r="DQ329" s="187"/>
      <c r="DR329" s="183">
        <f t="shared" si="1291"/>
        <v>2290</v>
      </c>
      <c r="DS329" s="183">
        <f t="shared" si="1291"/>
        <v>133418604.2463419</v>
      </c>
      <c r="DT329" s="182">
        <v>2347</v>
      </c>
      <c r="DU329" s="182">
        <v>135882766.43547666</v>
      </c>
      <c r="DV329" s="167">
        <f t="shared" si="1035"/>
        <v>-57</v>
      </c>
      <c r="DW329" s="167">
        <f t="shared" si="1035"/>
        <v>-2464162.1891347617</v>
      </c>
    </row>
    <row r="330" spans="1:127" ht="30" customHeight="1" x14ac:dyDescent="0.25">
      <c r="A330" s="154"/>
      <c r="B330" s="176">
        <v>286</v>
      </c>
      <c r="C330" s="177" t="s">
        <v>735</v>
      </c>
      <c r="D330" s="210" t="s">
        <v>736</v>
      </c>
      <c r="E330" s="158">
        <v>25969</v>
      </c>
      <c r="F330" s="179">
        <v>2.42</v>
      </c>
      <c r="G330" s="243">
        <v>0.9</v>
      </c>
      <c r="H330" s="242"/>
      <c r="I330" s="242"/>
      <c r="J330" s="242"/>
      <c r="K330" s="106"/>
      <c r="L330" s="180">
        <v>1.4</v>
      </c>
      <c r="M330" s="180">
        <v>1.68</v>
      </c>
      <c r="N330" s="180">
        <v>2.23</v>
      </c>
      <c r="O330" s="181">
        <v>2.57</v>
      </c>
      <c r="P330" s="182">
        <v>180</v>
      </c>
      <c r="Q330" s="182">
        <f t="shared" ref="Q330:Q331" si="1375">(P330*$E330*$F330*$G330*$L330)</f>
        <v>14253241.464</v>
      </c>
      <c r="R330" s="182">
        <v>235</v>
      </c>
      <c r="S330" s="187">
        <f t="shared" ref="S330:S331" si="1376">(R330*$E330*$F330*$G330*$L330)</f>
        <v>18608398.577999998</v>
      </c>
      <c r="T330" s="182">
        <v>27</v>
      </c>
      <c r="U330" s="182">
        <f t="shared" ref="U330:U331" si="1377">(T330*$E330*$F330*$G330*$L330)</f>
        <v>2137986.2196</v>
      </c>
      <c r="V330" s="182"/>
      <c r="W330" s="182">
        <f t="shared" ref="W330:W331" si="1378">(V330*$E330*$F330*$G330*$L330)</f>
        <v>0</v>
      </c>
      <c r="X330" s="182">
        <v>1</v>
      </c>
      <c r="Y330" s="182">
        <v>79184.674799999993</v>
      </c>
      <c r="Z330" s="182"/>
      <c r="AA330" s="182">
        <v>0</v>
      </c>
      <c r="AB330" s="182">
        <f t="shared" si="1296"/>
        <v>1</v>
      </c>
      <c r="AC330" s="182">
        <f t="shared" si="1296"/>
        <v>79184.674799999993</v>
      </c>
      <c r="AD330" s="182"/>
      <c r="AE330" s="182">
        <f t="shared" ref="AE330:AE331" si="1379">(AD330*$E330*$F330*$G330*$L330)</f>
        <v>0</v>
      </c>
      <c r="AF330" s="182"/>
      <c r="AG330" s="182"/>
      <c r="AH330" s="182">
        <v>2</v>
      </c>
      <c r="AI330" s="182">
        <f t="shared" ref="AI330:AI331" si="1380">(AH330*$E330*$F330*$G330*$L330)</f>
        <v>158369.34959999999</v>
      </c>
      <c r="AJ330" s="182"/>
      <c r="AK330" s="182"/>
      <c r="AL330" s="182"/>
      <c r="AM330" s="182"/>
      <c r="AN330" s="182">
        <v>1</v>
      </c>
      <c r="AO330" s="182">
        <f t="shared" ref="AO330" si="1381">(AN330*$E330*$F330*$G330*$L330)</f>
        <v>79184.674799999993</v>
      </c>
      <c r="AP330" s="182"/>
      <c r="AQ330" s="182">
        <f t="shared" ref="AQ330:AQ331" si="1382">(AP330*$E330*$F330*$G330*$L330)</f>
        <v>0</v>
      </c>
      <c r="AR330" s="182"/>
      <c r="AS330" s="182">
        <f t="shared" ref="AS330:AS331" si="1383">(AR330*$E330*$F330*$G330*$L330)</f>
        <v>0</v>
      </c>
      <c r="AT330" s="182">
        <f>90+10</f>
        <v>100</v>
      </c>
      <c r="AU330" s="183">
        <f t="shared" ref="AU330:AU331" si="1384">(AT330*$E330*$F330*$G330*$M330)</f>
        <v>9502160.9759999998</v>
      </c>
      <c r="AV330" s="186"/>
      <c r="AW330" s="182">
        <f t="shared" ref="AW330:AW331" si="1385">(AV330*$E330*$F330*$G330*$M330)</f>
        <v>0</v>
      </c>
      <c r="AX330" s="182"/>
      <c r="AY330" s="187">
        <f t="shared" ref="AY330:AY331" si="1386">(AX330*$E330*$F330*$G330*$M330)</f>
        <v>0</v>
      </c>
      <c r="AZ330" s="182"/>
      <c r="BA330" s="182">
        <f>(AZ330*$E330*$F330*$G330*$L330*$AO$12)</f>
        <v>0</v>
      </c>
      <c r="BB330" s="182">
        <v>0</v>
      </c>
      <c r="BC330" s="182">
        <f t="shared" ref="BC330:BC331" si="1387">(BB330*$E330*$F330*$G330*$L330*BC$12)</f>
        <v>0</v>
      </c>
      <c r="BD330" s="182"/>
      <c r="BE330" s="182">
        <f>(BD330*$E330*$F330*$G330*$L330*BE$12)</f>
        <v>0</v>
      </c>
      <c r="BF330" s="182"/>
      <c r="BG330" s="182">
        <f t="shared" ref="BG330:BG331" si="1388">(BF330*$E330*$F330*$G330*$L330)</f>
        <v>0</v>
      </c>
      <c r="BH330" s="182"/>
      <c r="BI330" s="182">
        <f t="shared" ref="BI330:BI331" si="1389">(BH330*$E330*$F330*$G330*$L330)</f>
        <v>0</v>
      </c>
      <c r="BJ330" s="182"/>
      <c r="BK330" s="182"/>
      <c r="BL330" s="182"/>
      <c r="BM330" s="182">
        <f t="shared" ref="BM330:BM331" si="1390">(BL330*$E330*$F330*$G330*$L330)</f>
        <v>0</v>
      </c>
      <c r="BN330" s="182">
        <v>8</v>
      </c>
      <c r="BO330" s="182">
        <f t="shared" ref="BO330:BO331" si="1391">(BN330*$E330*$F330*$G330*$M330)</f>
        <v>760172.87807999994</v>
      </c>
      <c r="BP330" s="182"/>
      <c r="BQ330" s="182">
        <f t="shared" ref="BQ330:BQ331" si="1392">(BP330*$E330*$F330*$G330*$M330)</f>
        <v>0</v>
      </c>
      <c r="BR330" s="182"/>
      <c r="BS330" s="182">
        <f t="shared" ref="BS330:BS331" si="1393">(BR330*$E330*$F330*$G330*$M330)</f>
        <v>0</v>
      </c>
      <c r="BT330" s="182">
        <v>2</v>
      </c>
      <c r="BU330" s="182">
        <f t="shared" ref="BU330:BU331" si="1394">(BT330*$E330*$F330*$G330*$M330)</f>
        <v>190043.21951999998</v>
      </c>
      <c r="BV330" s="182"/>
      <c r="BW330" s="182">
        <f t="shared" ref="BW330:BW331" si="1395">(BV330*$E330*$F330*$G330*$M330)</f>
        <v>0</v>
      </c>
      <c r="BX330" s="182">
        <v>1</v>
      </c>
      <c r="BY330" s="182">
        <f t="shared" ref="BY330:BY331" si="1396">(BX330*$E330*$F330*$G330*$M330)</f>
        <v>95021.609759999992</v>
      </c>
      <c r="BZ330" s="182">
        <v>1</v>
      </c>
      <c r="CA330" s="187">
        <f t="shared" ref="CA330:CA331" si="1397">(BZ330*$E330*$F330*$G330*$M330)</f>
        <v>95021.609759999992</v>
      </c>
      <c r="CB330" s="182"/>
      <c r="CC330" s="182">
        <f t="shared" ref="CC330:CC331" si="1398">(CB330*$E330*$F330*$G330*$L330)</f>
        <v>0</v>
      </c>
      <c r="CD330" s="182"/>
      <c r="CE330" s="183">
        <f t="shared" ref="CE330:CE331" si="1399">(CD330*$E330*$F330*$G330*$L330)</f>
        <v>0</v>
      </c>
      <c r="CF330" s="182"/>
      <c r="CG330" s="182">
        <f t="shared" ref="CG330:CG331" si="1400">(CF330*$E330*$F330*$G330*$L330)</f>
        <v>0</v>
      </c>
      <c r="CH330" s="182"/>
      <c r="CI330" s="182">
        <f t="shared" ref="CI330:CI331" si="1401">(CH330*$E330*$F330*$G330*$M330)</f>
        <v>0</v>
      </c>
      <c r="CJ330" s="182"/>
      <c r="CK330" s="182"/>
      <c r="CL330" s="182"/>
      <c r="CM330" s="182">
        <f t="shared" ref="CM330:CM331" si="1402">(CL330*$E330*$F330*$G330*$L330)</f>
        <v>0</v>
      </c>
      <c r="CN330" s="182"/>
      <c r="CO330" s="182">
        <f t="shared" ref="CO330:CO331" si="1403">(CN330*$E330*$F330*$G330*$L330)</f>
        <v>0</v>
      </c>
      <c r="CP330" s="182"/>
      <c r="CQ330" s="182">
        <f t="shared" ref="CQ330:CQ331" si="1404">(CP330*$E330*$F330*$G330*$L330)</f>
        <v>0</v>
      </c>
      <c r="CR330" s="182"/>
      <c r="CS330" s="182">
        <f t="shared" ref="CS330:CS331" si="1405">(CR330*$E330*$F330*$G330*$L330)</f>
        <v>0</v>
      </c>
      <c r="CT330" s="182"/>
      <c r="CU330" s="182">
        <f t="shared" ref="CU330:CU331" si="1406">(CT330*$E330*$F330*$G330*$L330)</f>
        <v>0</v>
      </c>
      <c r="CV330" s="182">
        <v>4</v>
      </c>
      <c r="CW330" s="182">
        <v>380086.44</v>
      </c>
      <c r="CX330" s="182">
        <v>3</v>
      </c>
      <c r="CY330" s="182">
        <f t="shared" ref="CY330:CY331" si="1407">(CX330*$E330*$F330*$G330*$M330)</f>
        <v>285064.82928000001</v>
      </c>
      <c r="CZ330" s="182"/>
      <c r="DA330" s="182">
        <v>0</v>
      </c>
      <c r="DB330" s="188"/>
      <c r="DC330" s="182">
        <f t="shared" ref="DC330:DC331" si="1408">(DB330*$E330*$F330*$G330*$M330)</f>
        <v>0</v>
      </c>
      <c r="DD330" s="182"/>
      <c r="DE330" s="187">
        <f t="shared" ref="DE330:DE331" si="1409">(DD330*$E330*$F330*$G330*$M330)</f>
        <v>0</v>
      </c>
      <c r="DF330" s="182"/>
      <c r="DG330" s="182"/>
      <c r="DH330" s="189"/>
      <c r="DI330" s="182">
        <f t="shared" ref="DI330:DI331" si="1410">(DH330*$E330*$F330*$G330*$M330)</f>
        <v>0</v>
      </c>
      <c r="DJ330" s="182"/>
      <c r="DK330" s="182">
        <f t="shared" ref="DK330:DK331" si="1411">(DJ330*$E330*$F330*$G330*$M330)</f>
        <v>0</v>
      </c>
      <c r="DL330" s="182"/>
      <c r="DM330" s="182">
        <f t="shared" ref="DM330:DM331" si="1412">(DL330*$E330*$F330*$G330*$N330)</f>
        <v>0</v>
      </c>
      <c r="DN330" s="182"/>
      <c r="DO330" s="187">
        <f t="shared" ref="DO330:DO331" si="1413">(DN330*$E330*$F330*$G330*$O330)</f>
        <v>0</v>
      </c>
      <c r="DP330" s="187"/>
      <c r="DQ330" s="187"/>
      <c r="DR330" s="183">
        <f t="shared" si="1291"/>
        <v>565</v>
      </c>
      <c r="DS330" s="183">
        <f t="shared" si="1291"/>
        <v>46623936.523199998</v>
      </c>
      <c r="DT330" s="182">
        <v>570</v>
      </c>
      <c r="DU330" s="182">
        <v>47019859.897200011</v>
      </c>
      <c r="DV330" s="167">
        <f t="shared" si="1035"/>
        <v>-5</v>
      </c>
      <c r="DW330" s="167">
        <f t="shared" si="1035"/>
        <v>-395923.37400001287</v>
      </c>
    </row>
    <row r="331" spans="1:127" ht="30" customHeight="1" x14ac:dyDescent="0.25">
      <c r="A331" s="154"/>
      <c r="B331" s="176">
        <v>287</v>
      </c>
      <c r="C331" s="177" t="s">
        <v>737</v>
      </c>
      <c r="D331" s="210" t="s">
        <v>738</v>
      </c>
      <c r="E331" s="158">
        <v>25969</v>
      </c>
      <c r="F331" s="179">
        <v>3.15</v>
      </c>
      <c r="G331" s="243">
        <v>0.8</v>
      </c>
      <c r="H331" s="242"/>
      <c r="I331" s="242"/>
      <c r="J331" s="242"/>
      <c r="K331" s="106"/>
      <c r="L331" s="180">
        <v>1.4</v>
      </c>
      <c r="M331" s="180">
        <v>1.68</v>
      </c>
      <c r="N331" s="180">
        <v>2.23</v>
      </c>
      <c r="O331" s="181">
        <v>2.57</v>
      </c>
      <c r="P331" s="182">
        <v>180</v>
      </c>
      <c r="Q331" s="182">
        <f t="shared" si="1375"/>
        <v>16491353.76</v>
      </c>
      <c r="R331" s="182">
        <v>1100</v>
      </c>
      <c r="S331" s="187">
        <f t="shared" si="1376"/>
        <v>100780495.19999999</v>
      </c>
      <c r="T331" s="182">
        <v>41</v>
      </c>
      <c r="U331" s="182">
        <f t="shared" si="1377"/>
        <v>3756363.912</v>
      </c>
      <c r="V331" s="182"/>
      <c r="W331" s="182">
        <f t="shared" si="1378"/>
        <v>0</v>
      </c>
      <c r="X331" s="182"/>
      <c r="Y331" s="182">
        <v>0</v>
      </c>
      <c r="Z331" s="182"/>
      <c r="AA331" s="182">
        <v>0</v>
      </c>
      <c r="AB331" s="182">
        <f t="shared" si="1296"/>
        <v>0</v>
      </c>
      <c r="AC331" s="182">
        <f t="shared" si="1296"/>
        <v>0</v>
      </c>
      <c r="AD331" s="182"/>
      <c r="AE331" s="182">
        <f t="shared" si="1379"/>
        <v>0</v>
      </c>
      <c r="AF331" s="182"/>
      <c r="AG331" s="182"/>
      <c r="AH331" s="182">
        <v>13</v>
      </c>
      <c r="AI331" s="182">
        <f t="shared" si="1380"/>
        <v>1191042.216</v>
      </c>
      <c r="AJ331" s="182"/>
      <c r="AK331" s="182"/>
      <c r="AL331" s="182"/>
      <c r="AM331" s="182"/>
      <c r="AN331" s="182"/>
      <c r="AO331" s="182">
        <f>(AN331*$E331*$F331*$G331*$L331)</f>
        <v>0</v>
      </c>
      <c r="AP331" s="182"/>
      <c r="AQ331" s="182">
        <f t="shared" si="1382"/>
        <v>0</v>
      </c>
      <c r="AR331" s="182"/>
      <c r="AS331" s="182">
        <f t="shared" si="1383"/>
        <v>0</v>
      </c>
      <c r="AT331" s="182">
        <v>368</v>
      </c>
      <c r="AU331" s="183">
        <f t="shared" si="1384"/>
        <v>40458787.891200006</v>
      </c>
      <c r="AV331" s="188"/>
      <c r="AW331" s="182">
        <f t="shared" si="1385"/>
        <v>0</v>
      </c>
      <c r="AX331" s="182"/>
      <c r="AY331" s="187">
        <f t="shared" si="1386"/>
        <v>0</v>
      </c>
      <c r="AZ331" s="182"/>
      <c r="BA331" s="182">
        <f>(AZ331*$E331*$F331*$G331*$L331*$AO$12)</f>
        <v>0</v>
      </c>
      <c r="BB331" s="182">
        <v>0</v>
      </c>
      <c r="BC331" s="182">
        <f t="shared" si="1387"/>
        <v>0</v>
      </c>
      <c r="BD331" s="182"/>
      <c r="BE331" s="182">
        <f>(BD331*$E331*$F331*$G331*$L331*BE$12)</f>
        <v>0</v>
      </c>
      <c r="BF331" s="182"/>
      <c r="BG331" s="182">
        <f t="shared" si="1388"/>
        <v>0</v>
      </c>
      <c r="BH331" s="182"/>
      <c r="BI331" s="182">
        <f t="shared" si="1389"/>
        <v>0</v>
      </c>
      <c r="BJ331" s="182"/>
      <c r="BK331" s="182"/>
      <c r="BL331" s="182"/>
      <c r="BM331" s="182">
        <f t="shared" si="1390"/>
        <v>0</v>
      </c>
      <c r="BN331" s="182">
        <v>188</v>
      </c>
      <c r="BO331" s="182">
        <f t="shared" si="1391"/>
        <v>20669163.379199997</v>
      </c>
      <c r="BP331" s="182"/>
      <c r="BQ331" s="182">
        <f t="shared" si="1392"/>
        <v>0</v>
      </c>
      <c r="BR331" s="182"/>
      <c r="BS331" s="182">
        <f t="shared" si="1393"/>
        <v>0</v>
      </c>
      <c r="BT331" s="182">
        <v>1</v>
      </c>
      <c r="BU331" s="182">
        <f t="shared" si="1394"/>
        <v>109942.3584</v>
      </c>
      <c r="BV331" s="182"/>
      <c r="BW331" s="182">
        <f t="shared" si="1395"/>
        <v>0</v>
      </c>
      <c r="BX331" s="182"/>
      <c r="BY331" s="182">
        <f t="shared" si="1396"/>
        <v>0</v>
      </c>
      <c r="BZ331" s="182"/>
      <c r="CA331" s="187">
        <f t="shared" si="1397"/>
        <v>0</v>
      </c>
      <c r="CB331" s="182"/>
      <c r="CC331" s="182">
        <f t="shared" si="1398"/>
        <v>0</v>
      </c>
      <c r="CD331" s="182"/>
      <c r="CE331" s="183">
        <f t="shared" si="1399"/>
        <v>0</v>
      </c>
      <c r="CF331" s="182"/>
      <c r="CG331" s="182">
        <f t="shared" si="1400"/>
        <v>0</v>
      </c>
      <c r="CH331" s="182"/>
      <c r="CI331" s="182">
        <f t="shared" si="1401"/>
        <v>0</v>
      </c>
      <c r="CJ331" s="182"/>
      <c r="CK331" s="182"/>
      <c r="CL331" s="182"/>
      <c r="CM331" s="182">
        <f t="shared" si="1402"/>
        <v>0</v>
      </c>
      <c r="CN331" s="182"/>
      <c r="CO331" s="182">
        <f t="shared" si="1403"/>
        <v>0</v>
      </c>
      <c r="CP331" s="182"/>
      <c r="CQ331" s="182">
        <f t="shared" si="1404"/>
        <v>0</v>
      </c>
      <c r="CR331" s="182"/>
      <c r="CS331" s="182">
        <f t="shared" si="1405"/>
        <v>0</v>
      </c>
      <c r="CT331" s="182"/>
      <c r="CU331" s="182">
        <f t="shared" si="1406"/>
        <v>0</v>
      </c>
      <c r="CV331" s="182">
        <v>29</v>
      </c>
      <c r="CW331" s="182">
        <v>3160842.8499999996</v>
      </c>
      <c r="CX331" s="182"/>
      <c r="CY331" s="182">
        <f t="shared" si="1407"/>
        <v>0</v>
      </c>
      <c r="CZ331" s="182"/>
      <c r="DA331" s="182">
        <v>0</v>
      </c>
      <c r="DB331" s="188"/>
      <c r="DC331" s="182">
        <f t="shared" si="1408"/>
        <v>0</v>
      </c>
      <c r="DD331" s="182"/>
      <c r="DE331" s="187">
        <f t="shared" si="1409"/>
        <v>0</v>
      </c>
      <c r="DF331" s="182"/>
      <c r="DG331" s="182"/>
      <c r="DH331" s="189"/>
      <c r="DI331" s="182">
        <f t="shared" si="1410"/>
        <v>0</v>
      </c>
      <c r="DJ331" s="182"/>
      <c r="DK331" s="182">
        <f t="shared" si="1411"/>
        <v>0</v>
      </c>
      <c r="DL331" s="182"/>
      <c r="DM331" s="182">
        <f t="shared" si="1412"/>
        <v>0</v>
      </c>
      <c r="DN331" s="182"/>
      <c r="DO331" s="187">
        <f t="shared" si="1413"/>
        <v>0</v>
      </c>
      <c r="DP331" s="187"/>
      <c r="DQ331" s="187"/>
      <c r="DR331" s="183">
        <f t="shared" si="1291"/>
        <v>1920</v>
      </c>
      <c r="DS331" s="183">
        <f t="shared" si="1291"/>
        <v>186617991.56679997</v>
      </c>
      <c r="DT331" s="182">
        <v>1777</v>
      </c>
      <c r="DU331" s="182">
        <v>170896234.31560001</v>
      </c>
      <c r="DV331" s="167">
        <f t="shared" si="1035"/>
        <v>143</v>
      </c>
      <c r="DW331" s="167">
        <f t="shared" si="1035"/>
        <v>15721757.251199961</v>
      </c>
    </row>
    <row r="332" spans="1:127" ht="15.75" customHeight="1" x14ac:dyDescent="0.25">
      <c r="A332" s="170">
        <v>30</v>
      </c>
      <c r="B332" s="197"/>
      <c r="C332" s="198"/>
      <c r="D332" s="211" t="s">
        <v>739</v>
      </c>
      <c r="E332" s="158">
        <v>25969</v>
      </c>
      <c r="F332" s="199">
        <v>1.2</v>
      </c>
      <c r="G332" s="171"/>
      <c r="H332" s="169"/>
      <c r="I332" s="169"/>
      <c r="J332" s="169"/>
      <c r="K332" s="173"/>
      <c r="L332" s="174">
        <v>1.4</v>
      </c>
      <c r="M332" s="174">
        <v>1.68</v>
      </c>
      <c r="N332" s="174">
        <v>2.23</v>
      </c>
      <c r="O332" s="175">
        <v>2.57</v>
      </c>
      <c r="P332" s="166">
        <f t="shared" ref="P332:AD332" si="1414">SUM(P333:P347)</f>
        <v>2068</v>
      </c>
      <c r="Q332" s="166">
        <f t="shared" si="1414"/>
        <v>108943824.38100001</v>
      </c>
      <c r="R332" s="166">
        <f t="shared" ref="R332" si="1415">SUM(R333:R347)</f>
        <v>10</v>
      </c>
      <c r="S332" s="166">
        <f t="shared" si="1414"/>
        <v>351531.96539999999</v>
      </c>
      <c r="T332" s="166">
        <f t="shared" si="1414"/>
        <v>341</v>
      </c>
      <c r="U332" s="166">
        <f t="shared" si="1414"/>
        <v>11366727.385299999</v>
      </c>
      <c r="V332" s="166">
        <f t="shared" si="1414"/>
        <v>18</v>
      </c>
      <c r="W332" s="166">
        <f t="shared" si="1414"/>
        <v>557615.47834070399</v>
      </c>
      <c r="X332" s="166">
        <v>106</v>
      </c>
      <c r="Y332" s="166">
        <v>9223349.4819199983</v>
      </c>
      <c r="Z332" s="166">
        <v>2</v>
      </c>
      <c r="AA332" s="166">
        <v>173464.60991999996</v>
      </c>
      <c r="AB332" s="166">
        <f t="shared" si="1414"/>
        <v>108</v>
      </c>
      <c r="AC332" s="166">
        <f t="shared" si="1414"/>
        <v>9396814.091839999</v>
      </c>
      <c r="AD332" s="166">
        <f t="shared" si="1414"/>
        <v>0</v>
      </c>
      <c r="AE332" s="166">
        <f t="shared" ref="AE332:CP332" si="1416">SUM(AE333:AE347)</f>
        <v>0</v>
      </c>
      <c r="AF332" s="166">
        <f t="shared" si="1416"/>
        <v>0</v>
      </c>
      <c r="AG332" s="166">
        <f t="shared" si="1416"/>
        <v>0</v>
      </c>
      <c r="AH332" s="166">
        <f t="shared" si="1416"/>
        <v>308</v>
      </c>
      <c r="AI332" s="166">
        <f t="shared" si="1416"/>
        <v>14866141.026799999</v>
      </c>
      <c r="AJ332" s="166">
        <f>SUM(AJ333:AJ347)</f>
        <v>0</v>
      </c>
      <c r="AK332" s="166">
        <f>SUM(AK333:AK347)</f>
        <v>0</v>
      </c>
      <c r="AL332" s="166">
        <f t="shared" si="1416"/>
        <v>0</v>
      </c>
      <c r="AM332" s="166">
        <f t="shared" si="1416"/>
        <v>0</v>
      </c>
      <c r="AN332" s="166">
        <f t="shared" si="1416"/>
        <v>0</v>
      </c>
      <c r="AO332" s="166">
        <f t="shared" si="1416"/>
        <v>0</v>
      </c>
      <c r="AP332" s="166">
        <f t="shared" si="1416"/>
        <v>1503</v>
      </c>
      <c r="AQ332" s="166">
        <f t="shared" si="1416"/>
        <v>57937972.287160002</v>
      </c>
      <c r="AR332" s="166">
        <f t="shared" si="1416"/>
        <v>97</v>
      </c>
      <c r="AS332" s="166">
        <f t="shared" si="1416"/>
        <v>3640563.6691381996</v>
      </c>
      <c r="AT332" s="166">
        <f t="shared" si="1416"/>
        <v>51</v>
      </c>
      <c r="AU332" s="166">
        <f t="shared" si="1416"/>
        <v>1757521.9259072077</v>
      </c>
      <c r="AV332" s="166">
        <f t="shared" si="1416"/>
        <v>22</v>
      </c>
      <c r="AW332" s="166">
        <f t="shared" si="1416"/>
        <v>2254306.91</v>
      </c>
      <c r="AX332" s="166">
        <f t="shared" si="1416"/>
        <v>59</v>
      </c>
      <c r="AY332" s="166">
        <f t="shared" si="1416"/>
        <v>2244569.2281599999</v>
      </c>
      <c r="AZ332" s="166">
        <f t="shared" si="1416"/>
        <v>0</v>
      </c>
      <c r="BA332" s="166">
        <f t="shared" si="1416"/>
        <v>0</v>
      </c>
      <c r="BB332" s="166">
        <f t="shared" si="1416"/>
        <v>0</v>
      </c>
      <c r="BC332" s="166">
        <f t="shared" si="1416"/>
        <v>0</v>
      </c>
      <c r="BD332" s="166">
        <f t="shared" si="1416"/>
        <v>0</v>
      </c>
      <c r="BE332" s="166">
        <f t="shared" si="1416"/>
        <v>0</v>
      </c>
      <c r="BF332" s="166">
        <f t="shared" si="1416"/>
        <v>0</v>
      </c>
      <c r="BG332" s="166">
        <f t="shared" si="1416"/>
        <v>0</v>
      </c>
      <c r="BH332" s="166">
        <f t="shared" si="1416"/>
        <v>0</v>
      </c>
      <c r="BI332" s="166">
        <f t="shared" si="1416"/>
        <v>0</v>
      </c>
      <c r="BJ332" s="166">
        <f t="shared" si="1416"/>
        <v>0</v>
      </c>
      <c r="BK332" s="166">
        <f t="shared" si="1416"/>
        <v>0</v>
      </c>
      <c r="BL332" s="166">
        <f t="shared" si="1416"/>
        <v>157</v>
      </c>
      <c r="BM332" s="166">
        <f t="shared" si="1416"/>
        <v>5355978.2249075202</v>
      </c>
      <c r="BN332" s="166">
        <f t="shared" si="1416"/>
        <v>1592</v>
      </c>
      <c r="BO332" s="166">
        <f t="shared" si="1416"/>
        <v>75357415.518000007</v>
      </c>
      <c r="BP332" s="166">
        <f t="shared" si="1416"/>
        <v>155</v>
      </c>
      <c r="BQ332" s="166">
        <f t="shared" si="1416"/>
        <v>5987053.6009160792</v>
      </c>
      <c r="BR332" s="166">
        <f t="shared" si="1416"/>
        <v>0</v>
      </c>
      <c r="BS332" s="166">
        <f t="shared" si="1416"/>
        <v>0</v>
      </c>
      <c r="BT332" s="166">
        <f t="shared" si="1416"/>
        <v>103</v>
      </c>
      <c r="BU332" s="166">
        <f t="shared" si="1416"/>
        <v>3259907.7272274233</v>
      </c>
      <c r="BV332" s="166">
        <f t="shared" si="1416"/>
        <v>39</v>
      </c>
      <c r="BW332" s="166">
        <f t="shared" si="1416"/>
        <v>1226249.9474399998</v>
      </c>
      <c r="BX332" s="166">
        <f t="shared" si="1416"/>
        <v>167</v>
      </c>
      <c r="BY332" s="166">
        <f t="shared" si="1416"/>
        <v>6833503.0263440637</v>
      </c>
      <c r="BZ332" s="166">
        <f t="shared" si="1416"/>
        <v>223</v>
      </c>
      <c r="CA332" s="166">
        <f t="shared" si="1416"/>
        <v>9283120.3940101173</v>
      </c>
      <c r="CB332" s="166">
        <f t="shared" si="1416"/>
        <v>19</v>
      </c>
      <c r="CC332" s="166">
        <f t="shared" si="1416"/>
        <v>705820.71847046667</v>
      </c>
      <c r="CD332" s="166">
        <f t="shared" si="1416"/>
        <v>58</v>
      </c>
      <c r="CE332" s="166">
        <f t="shared" si="1416"/>
        <v>1806559.4539999997</v>
      </c>
      <c r="CF332" s="166">
        <f t="shared" si="1416"/>
        <v>5</v>
      </c>
      <c r="CG332" s="166">
        <f t="shared" si="1416"/>
        <v>258131.86</v>
      </c>
      <c r="CH332" s="166">
        <f t="shared" si="1416"/>
        <v>144</v>
      </c>
      <c r="CI332" s="166">
        <f t="shared" si="1416"/>
        <v>4836298.9128615847</v>
      </c>
      <c r="CJ332" s="166">
        <f t="shared" si="1416"/>
        <v>0</v>
      </c>
      <c r="CK332" s="166">
        <f t="shared" si="1416"/>
        <v>0</v>
      </c>
      <c r="CL332" s="166">
        <f t="shared" si="1416"/>
        <v>15</v>
      </c>
      <c r="CM332" s="166">
        <f t="shared" si="1416"/>
        <v>375200.11199999996</v>
      </c>
      <c r="CN332" s="166">
        <f t="shared" si="1416"/>
        <v>18</v>
      </c>
      <c r="CO332" s="166">
        <f t="shared" si="1416"/>
        <v>350768.47680000006</v>
      </c>
      <c r="CP332" s="166">
        <f t="shared" si="1416"/>
        <v>57</v>
      </c>
      <c r="CQ332" s="166">
        <f t="shared" ref="CQ332:DQ332" si="1417">SUM(CQ333:CQ347)</f>
        <v>1191515.6661878396</v>
      </c>
      <c r="CR332" s="166">
        <f t="shared" si="1417"/>
        <v>184</v>
      </c>
      <c r="CS332" s="166">
        <f t="shared" si="1417"/>
        <v>5634422.3028235799</v>
      </c>
      <c r="CT332" s="166">
        <f t="shared" si="1417"/>
        <v>214</v>
      </c>
      <c r="CU332" s="166">
        <f t="shared" si="1417"/>
        <v>5639813.5539600393</v>
      </c>
      <c r="CV332" s="166">
        <f t="shared" si="1417"/>
        <v>326</v>
      </c>
      <c r="CW332" s="166">
        <v>10034617.729999997</v>
      </c>
      <c r="CX332" s="166">
        <f t="shared" si="1417"/>
        <v>118</v>
      </c>
      <c r="CY332" s="166">
        <f t="shared" si="1417"/>
        <v>4114237.505330232</v>
      </c>
      <c r="CZ332" s="166">
        <f t="shared" si="1417"/>
        <v>190</v>
      </c>
      <c r="DA332" s="166">
        <v>6942292.5999999708</v>
      </c>
      <c r="DB332" s="166">
        <f t="shared" si="1417"/>
        <v>20</v>
      </c>
      <c r="DC332" s="166">
        <f t="shared" si="1417"/>
        <v>675360.20159999991</v>
      </c>
      <c r="DD332" s="166">
        <f t="shared" si="1417"/>
        <v>0</v>
      </c>
      <c r="DE332" s="166">
        <f t="shared" si="1417"/>
        <v>0</v>
      </c>
      <c r="DF332" s="166">
        <f t="shared" si="1417"/>
        <v>0</v>
      </c>
      <c r="DG332" s="166">
        <f t="shared" si="1417"/>
        <v>0</v>
      </c>
      <c r="DH332" s="166">
        <f t="shared" si="1417"/>
        <v>14</v>
      </c>
      <c r="DI332" s="166">
        <f t="shared" si="1417"/>
        <v>436279.2</v>
      </c>
      <c r="DJ332" s="166">
        <f t="shared" si="1417"/>
        <v>88</v>
      </c>
      <c r="DK332" s="166">
        <f t="shared" si="1417"/>
        <v>2846741.7070524599</v>
      </c>
      <c r="DL332" s="166">
        <f t="shared" si="1417"/>
        <v>20</v>
      </c>
      <c r="DM332" s="166">
        <f t="shared" si="1417"/>
        <v>770214.571</v>
      </c>
      <c r="DN332" s="166">
        <f t="shared" si="1417"/>
        <v>33</v>
      </c>
      <c r="DO332" s="166">
        <f t="shared" si="1417"/>
        <v>1406886.1564</v>
      </c>
      <c r="DP332" s="166">
        <f t="shared" si="1417"/>
        <v>0</v>
      </c>
      <c r="DQ332" s="166">
        <f t="shared" si="1417"/>
        <v>0</v>
      </c>
      <c r="DR332" s="166">
        <f>SUM(DR333:DR347)</f>
        <v>8544</v>
      </c>
      <c r="DS332" s="166">
        <f t="shared" ref="DS332" si="1418">SUM(DS333:DS347)</f>
        <v>368645977.51637751</v>
      </c>
      <c r="DT332" s="166">
        <v>8547</v>
      </c>
      <c r="DU332" s="166">
        <v>364042089.93461597</v>
      </c>
      <c r="DV332" s="167">
        <f t="shared" si="1035"/>
        <v>-3</v>
      </c>
      <c r="DW332" s="167">
        <f t="shared" si="1035"/>
        <v>4603887.581761539</v>
      </c>
    </row>
    <row r="333" spans="1:127" ht="30" customHeight="1" x14ac:dyDescent="0.25">
      <c r="A333" s="154"/>
      <c r="B333" s="176">
        <v>288</v>
      </c>
      <c r="C333" s="177" t="s">
        <v>740</v>
      </c>
      <c r="D333" s="210" t="s">
        <v>741</v>
      </c>
      <c r="E333" s="158">
        <v>25969</v>
      </c>
      <c r="F333" s="179">
        <v>0.86</v>
      </c>
      <c r="G333" s="168">
        <v>1</v>
      </c>
      <c r="H333" s="169"/>
      <c r="I333" s="169"/>
      <c r="J333" s="169"/>
      <c r="K333" s="106"/>
      <c r="L333" s="180">
        <v>1.4</v>
      </c>
      <c r="M333" s="180">
        <v>1.68</v>
      </c>
      <c r="N333" s="180">
        <v>2.23</v>
      </c>
      <c r="O333" s="181">
        <v>2.57</v>
      </c>
      <c r="P333" s="182">
        <v>200</v>
      </c>
      <c r="Q333" s="182">
        <f>(P333*$E333*$F333*$G333*$L333*$Q$12)</f>
        <v>6878668.7199999997</v>
      </c>
      <c r="R333" s="182">
        <v>2</v>
      </c>
      <c r="S333" s="182">
        <f>(R333*$E333*$F333*$G333*$L333*$S$12)</f>
        <v>68786.6872</v>
      </c>
      <c r="T333" s="182">
        <v>120</v>
      </c>
      <c r="U333" s="182">
        <f t="shared" ref="U333:U335" si="1419">(T333/12*11*$E333*$F333*$G333*$L333*$U$12)+(T333/12*1*$E333*$F333*$G333*$L333*$U$14)</f>
        <v>4736901.4139999999</v>
      </c>
      <c r="V333" s="182"/>
      <c r="W333" s="183">
        <f t="shared" ref="W333:W335" si="1420">(V333*$E333*$F333*$G333*$L333*$W$12)/12*10+(V333*$E333*$F333*$G333*$L333*$W$13)/12*1++(V333*$E333*$F333*$G333*$L333*$W$14)/12*1</f>
        <v>0</v>
      </c>
      <c r="X333" s="183"/>
      <c r="Y333" s="183">
        <v>0</v>
      </c>
      <c r="Z333" s="183"/>
      <c r="AA333" s="183">
        <v>0</v>
      </c>
      <c r="AB333" s="182">
        <f t="shared" ref="AB333:AC335" si="1421">X333+Z333</f>
        <v>0</v>
      </c>
      <c r="AC333" s="182">
        <f t="shared" si="1421"/>
        <v>0</v>
      </c>
      <c r="AD333" s="182"/>
      <c r="AE333" s="182">
        <f>(AD333*$E333*$F333*$G333*$L333*$AE$12)</f>
        <v>0</v>
      </c>
      <c r="AF333" s="182"/>
      <c r="AG333" s="182"/>
      <c r="AH333" s="182">
        <v>106</v>
      </c>
      <c r="AI333" s="182">
        <f>(AH333*$E333*$F333*$G333*$L333*$AI$12)</f>
        <v>3645694.4216000005</v>
      </c>
      <c r="AJ333" s="182"/>
      <c r="AK333" s="182"/>
      <c r="AL333" s="182"/>
      <c r="AM333" s="182"/>
      <c r="AN333" s="182"/>
      <c r="AO333" s="182">
        <f>(AN333*$E333*$F333*$G333*$L333*$AO$12)</f>
        <v>0</v>
      </c>
      <c r="AP333" s="182">
        <v>208</v>
      </c>
      <c r="AQ333" s="183">
        <f>(AP333*$E333*$F333*$G333*$L333*$AQ$12)</f>
        <v>7153815.4687999999</v>
      </c>
      <c r="AR333" s="182">
        <v>84</v>
      </c>
      <c r="AS333" s="182">
        <f t="shared" ref="AS333:AS334" si="1422">(AR333*$E333*$F333*$G333*$L333*$AS$12)/12*10+(AR333*$E333*$F333*$G333*$L333*$AS$13)/12*1+(AR333*$E333*$F333*$L333*$G333*$AS$14*$AS$15)/12*1</f>
        <v>3118807.1576536</v>
      </c>
      <c r="AT333" s="182">
        <v>14</v>
      </c>
      <c r="AU333" s="182">
        <f t="shared" ref="AU333:AU334" si="1423">(AT333*$E333*$F333*$G333*$M333*$AU$12)/12*10+(AT333*$E333*$F333*$G333*$M333*$AU$13)/12+(AT333*$E333*$F333*$G333*$M333*$AU$14*$AU$15)/12</f>
        <v>605332.59005624161</v>
      </c>
      <c r="AV333" s="186"/>
      <c r="AW333" s="182">
        <f>(AV333*$E333*$F333*$G333*$M333*$AW$12)</f>
        <v>0</v>
      </c>
      <c r="AX333" s="182">
        <v>20</v>
      </c>
      <c r="AY333" s="187">
        <f>(AX333*$E333*$F333*$G333*$M333*$AY$12)</f>
        <v>825440.24639999995</v>
      </c>
      <c r="AZ333" s="182"/>
      <c r="BA333" s="182">
        <f>(AZ333*$E333*$F333*$G333*$L333*$BA$12)</f>
        <v>0</v>
      </c>
      <c r="BB333" s="182"/>
      <c r="BC333" s="182">
        <f>(BB333*$E333*$F333*$G333*$L333*$BC$12)</f>
        <v>0</v>
      </c>
      <c r="BD333" s="182"/>
      <c r="BE333" s="182">
        <f>(BD333*$E333*$F333*$G333*$L333*$BE$12)</f>
        <v>0</v>
      </c>
      <c r="BF333" s="182"/>
      <c r="BG333" s="182">
        <f>(BF333*$E333*$F333*$G333*$L333*$BG$12)</f>
        <v>0</v>
      </c>
      <c r="BH333" s="182"/>
      <c r="BI333" s="183">
        <f>(BH333*$E333*$F333*$G333*$L333*$BI$12)</f>
        <v>0</v>
      </c>
      <c r="BJ333" s="182"/>
      <c r="BK333" s="183">
        <f>(BJ333*$E333*$F333*$G333*$L333*$BK$12)</f>
        <v>0</v>
      </c>
      <c r="BL333" s="182">
        <v>45</v>
      </c>
      <c r="BM333" s="182">
        <f t="shared" ref="BM333:BM334" si="1424">(BL333/12*11*$E333*$F333*$G333*$L333*$BM$12)+(BL333/12*$E333*$F333*$G333*$L333*$BM$12*$BM$15)</f>
        <v>1964000.9322687599</v>
      </c>
      <c r="BN333" s="182">
        <v>203</v>
      </c>
      <c r="BO333" s="182">
        <f>(BN333*$E333*$F333*$G333*$M333*$BO$12)</f>
        <v>8378218.5009599999</v>
      </c>
      <c r="BP333" s="182">
        <v>125</v>
      </c>
      <c r="BQ333" s="182">
        <f t="shared" ref="BQ333" si="1425">(BP333/12*11*$E333*$F333*$G333*$M333*$BQ$12)+(BP333/12*$E333*$F333*$G333*$M333*$BQ$14*$BQ$15)</f>
        <v>5043951.8973234994</v>
      </c>
      <c r="BR333" s="182"/>
      <c r="BS333" s="183">
        <f>(BR333*$E333*$F333*$G333*$M333*$BS$12)</f>
        <v>0</v>
      </c>
      <c r="BT333" s="182">
        <v>20</v>
      </c>
      <c r="BU333" s="182">
        <f t="shared" ref="BU333:BU334" si="1426">(BT333*$E333*$F333*$G333*$M333*$BU$12)/12*10+(BT333*$E333*$F333*$G333*$M333*$BU$13)/12+(BT333*$E333*$F333*$G333*$M333*$BU$13*$BU$15)/12</f>
        <v>835946.85006963194</v>
      </c>
      <c r="BV333" s="182">
        <v>23</v>
      </c>
      <c r="BW333" s="182">
        <f>(BV333*$E333*$F333*$G333*$M333*$BW$12)</f>
        <v>776664.23184000002</v>
      </c>
      <c r="BX333" s="182">
        <v>61</v>
      </c>
      <c r="BY333" s="183">
        <f t="shared" ref="BY333:BY335" si="1427">(BX333*$E333*$F333*$G333*$M333*$BY$12)/12*11+(BX333*$E333*$F333*$G333*$M333*$BY$12*$BY$15)/12</f>
        <v>3086751.8110181754</v>
      </c>
      <c r="BZ333" s="182">
        <v>75</v>
      </c>
      <c r="CA333" s="187">
        <f t="shared" ref="CA333:CA334" si="1428">(BZ333*$E333*$F333*$G333*$M333*$CA$12)/12*11+(BZ333*$E333*$F333*$G333*$M333*$CA$12*$CA$15)/12</f>
        <v>3677688.0478169997</v>
      </c>
      <c r="CB333" s="182">
        <v>19</v>
      </c>
      <c r="CC333" s="182">
        <f>(CB333*$E333*$F333*$G333*$L333*$CC$12)/12*11+(CB333*$E333*$F333*$G333*$L333*$CC$12*$CC$15)/12</f>
        <v>705820.71847046667</v>
      </c>
      <c r="CD333" s="182">
        <v>57</v>
      </c>
      <c r="CE333" s="182">
        <f>(CD333*$E333*$F333*$G333*$L333*$CE$12)</f>
        <v>1782200.5319999997</v>
      </c>
      <c r="CF333" s="182"/>
      <c r="CG333" s="182">
        <f>(CF333*$E333*$F333*$G333*$L333*$CG$12)</f>
        <v>0</v>
      </c>
      <c r="CH333" s="182">
        <v>61</v>
      </c>
      <c r="CI333" s="182">
        <f t="shared" ref="CI333:CI335" si="1429">(CH333*$E333*$F333*$G333*$M333*$CI$12)/12*11+(CH333*$E333*$F333*$G333*$M333*$CI$12*$CI$15)/12</f>
        <v>2550630.4345819922</v>
      </c>
      <c r="CJ333" s="182"/>
      <c r="CK333" s="182"/>
      <c r="CL333" s="182">
        <v>15</v>
      </c>
      <c r="CM333" s="183">
        <f>(CL333*$E333*$F333*$G333*$L333*$CM$12)</f>
        <v>375200.11199999996</v>
      </c>
      <c r="CN333" s="182"/>
      <c r="CO333" s="183">
        <f>(CN333*$E333*$F333*$G333*$L333*$CO$12)</f>
        <v>0</v>
      </c>
      <c r="CP333" s="182"/>
      <c r="CQ333" s="182">
        <f>(CP333*$E333*$F333*$G333*$L333*$CQ$12)</f>
        <v>0</v>
      </c>
      <c r="CR333" s="182">
        <v>73</v>
      </c>
      <c r="CS333" s="182">
        <f t="shared" ref="CS333:CS334" si="1430">(CR333*$E333*$F333*$G333*$L333*$CS$12)/12*10+(CR333*$E333*$F333*$G333*$L333*$CS$13)/12+(CR333*$E333*$F333*$G333*$L333*$CS$13*$CS$15)/12</f>
        <v>2736377.825384513</v>
      </c>
      <c r="CT333" s="182">
        <f>90-5</f>
        <v>85</v>
      </c>
      <c r="CU333" s="182">
        <f t="shared" ref="CU333:CU334" si="1431">(CT333*$E333*$F333*$G333*$L333*$CU$12)/12*11+(CT333*$E333*$F333*$G333*$L333*$CU$12*$CU$15)/12</f>
        <v>2789992.7228333997</v>
      </c>
      <c r="CV333" s="182">
        <v>94</v>
      </c>
      <c r="CW333" s="182">
        <v>3554802.8599999924</v>
      </c>
      <c r="CX333" s="182">
        <v>40</v>
      </c>
      <c r="CY333" s="182">
        <f t="shared" ref="CY333:CY334" si="1432">(CX333/12*11*$E333*$F333*$G333*$M333*$CY$12)+(CX333/12*$E333*$F333*$G333*$M333*$CY$15*$CY$12)</f>
        <v>1619648.8354771202</v>
      </c>
      <c r="CZ333" s="182">
        <v>189</v>
      </c>
      <c r="DA333" s="182">
        <v>6913061.8899999708</v>
      </c>
      <c r="DB333" s="188">
        <v>20</v>
      </c>
      <c r="DC333" s="182">
        <f>(DB333*$E333*$F333*$G333*$M333*$DC$12)</f>
        <v>675360.20159999991</v>
      </c>
      <c r="DD333" s="182"/>
      <c r="DE333" s="187"/>
      <c r="DF333" s="182"/>
      <c r="DG333" s="182">
        <f>(DF333*$E333*$F333*$G333*$M333*$DG$12)</f>
        <v>0</v>
      </c>
      <c r="DH333" s="189">
        <f>ROUND(10*0.75,0)</f>
        <v>8</v>
      </c>
      <c r="DI333" s="182">
        <f>(DH333*$E333*$F333*$G333*$M333*$DI$12)</f>
        <v>300160.08960000001</v>
      </c>
      <c r="DJ333" s="182">
        <v>38</v>
      </c>
      <c r="DK333" s="182">
        <f t="shared" ref="DK333:DK334" si="1433">(DJ333/12*11*$E333*$F333*$G333*$M333*$DK$12)+(DJ333/12*1*$E333*$F333*$M333*$G333*$DK$12*$DK$15)</f>
        <v>1553639.2544394399</v>
      </c>
      <c r="DL333" s="182">
        <f>ROUND(10*0.75,0)</f>
        <v>8</v>
      </c>
      <c r="DM333" s="182">
        <f>(DL333*$E333*$F333*$G333*$N333*$DM$12)</f>
        <v>398426.7856</v>
      </c>
      <c r="DN333" s="182">
        <f>ROUND(15*0.75,0)</f>
        <v>11</v>
      </c>
      <c r="DO333" s="190">
        <f>(DN333*$E333*$F333*$G333*$O333*$DO$12)</f>
        <v>631363.52179999999</v>
      </c>
      <c r="DP333" s="187"/>
      <c r="DQ333" s="187"/>
      <c r="DR333" s="183">
        <f t="shared" ref="DR333:DS347" si="1434">SUM(P333,R333,T333,V333,AB333,AJ333,AD333,AF333,AH333,AL333,AN333,AP333,AV333,AZ333,BB333,CF333,AR333,BF333,BH333,BJ333,CT333,BL333,BN333,AT333,BR333,AX333,CV333,BT333,CX333,BV333,BX333,BZ333,CH333,CB333,CD333,CJ333,CL333,CN333,CP333,CR333,CZ333,DB333,BP333,BD333,DD333,DF333,DH333,DJ333,DL333,DN333,DP333)</f>
        <v>2024</v>
      </c>
      <c r="DS333" s="183">
        <f t="shared" si="1434"/>
        <v>77383354.76079382</v>
      </c>
      <c r="DT333" s="182">
        <v>2022</v>
      </c>
      <c r="DU333" s="182">
        <v>74671140.137373298</v>
      </c>
      <c r="DV333" s="167">
        <f t="shared" si="1035"/>
        <v>2</v>
      </c>
      <c r="DW333" s="167">
        <f t="shared" si="1035"/>
        <v>2712214.6234205216</v>
      </c>
    </row>
    <row r="334" spans="1:127" ht="30" customHeight="1" x14ac:dyDescent="0.25">
      <c r="A334" s="154"/>
      <c r="B334" s="176">
        <v>289</v>
      </c>
      <c r="C334" s="177" t="s">
        <v>742</v>
      </c>
      <c r="D334" s="210" t="s">
        <v>743</v>
      </c>
      <c r="E334" s="158">
        <v>25969</v>
      </c>
      <c r="F334" s="179">
        <v>0.49</v>
      </c>
      <c r="G334" s="168">
        <v>1</v>
      </c>
      <c r="H334" s="169"/>
      <c r="I334" s="169"/>
      <c r="J334" s="169"/>
      <c r="K334" s="106"/>
      <c r="L334" s="180">
        <v>1.4</v>
      </c>
      <c r="M334" s="180">
        <v>1.68</v>
      </c>
      <c r="N334" s="180">
        <v>2.23</v>
      </c>
      <c r="O334" s="181">
        <v>2.57</v>
      </c>
      <c r="P334" s="182">
        <v>222</v>
      </c>
      <c r="Q334" s="182">
        <f>(P334*$E334*$F334*$G334*$L334*$Q$12)</f>
        <v>4350358.0427999999</v>
      </c>
      <c r="R334" s="182">
        <v>2</v>
      </c>
      <c r="S334" s="182">
        <f>(R334*$E334*$F334*$G334*$L334*$S$12)</f>
        <v>39192.414799999999</v>
      </c>
      <c r="T334" s="182">
        <v>20</v>
      </c>
      <c r="U334" s="182">
        <f t="shared" si="1419"/>
        <v>449822.03349999996</v>
      </c>
      <c r="V334" s="182"/>
      <c r="W334" s="183">
        <f t="shared" si="1420"/>
        <v>0</v>
      </c>
      <c r="X334" s="183"/>
      <c r="Y334" s="183">
        <v>0</v>
      </c>
      <c r="Z334" s="183"/>
      <c r="AA334" s="183">
        <v>0</v>
      </c>
      <c r="AB334" s="182">
        <f t="shared" si="1421"/>
        <v>0</v>
      </c>
      <c r="AC334" s="182">
        <f t="shared" si="1421"/>
        <v>0</v>
      </c>
      <c r="AD334" s="182"/>
      <c r="AE334" s="182">
        <f>(AD334*$E334*$F334*$G334*$L334*$AE$12)</f>
        <v>0</v>
      </c>
      <c r="AF334" s="182"/>
      <c r="AG334" s="182"/>
      <c r="AH334" s="182">
        <v>20</v>
      </c>
      <c r="AI334" s="182">
        <f>(AH334*$E334*$F334*$G334*$L334*$AI$12)</f>
        <v>391924.14799999999</v>
      </c>
      <c r="AJ334" s="182"/>
      <c r="AK334" s="182"/>
      <c r="AL334" s="182"/>
      <c r="AM334" s="182"/>
      <c r="AN334" s="182"/>
      <c r="AO334" s="182">
        <f>(AN334*$E334*$F334*$G334*$L334*$AO$12)</f>
        <v>0</v>
      </c>
      <c r="AP334" s="182">
        <f>441-21</f>
        <v>420</v>
      </c>
      <c r="AQ334" s="183">
        <f>(AP334*$E334*$F334*$G334*$L334*$AQ$12)</f>
        <v>8230407.108</v>
      </c>
      <c r="AR334" s="182">
        <v>5</v>
      </c>
      <c r="AS334" s="182">
        <f t="shared" si="1422"/>
        <v>105773.49856383333</v>
      </c>
      <c r="AT334" s="182">
        <v>10</v>
      </c>
      <c r="AU334" s="182">
        <f t="shared" si="1423"/>
        <v>246356.28665079601</v>
      </c>
      <c r="AV334" s="188"/>
      <c r="AW334" s="182">
        <f>(AV334*$E334*$F334*$G334*$M334*$AW$12)</f>
        <v>0</v>
      </c>
      <c r="AX334" s="182">
        <v>20</v>
      </c>
      <c r="AY334" s="187">
        <f>(AX334*$E334*$F334*$G334*$M334*$AY$12)</f>
        <v>470308.97760000004</v>
      </c>
      <c r="AZ334" s="182"/>
      <c r="BA334" s="182">
        <f>(AZ334*$E334*$F334*$G334*$L334*$BA$12)</f>
        <v>0</v>
      </c>
      <c r="BB334" s="182"/>
      <c r="BC334" s="182">
        <f>(BB334*$E334*$F334*$G334*$L334*$BC$12)</f>
        <v>0</v>
      </c>
      <c r="BD334" s="182"/>
      <c r="BE334" s="182">
        <f>(BD334*$E334*$F334*$G334*$L334*$BE$12)</f>
        <v>0</v>
      </c>
      <c r="BF334" s="182"/>
      <c r="BG334" s="182">
        <f>(BF334*$E334*$F334*$G334*$L334*$BG$12)</f>
        <v>0</v>
      </c>
      <c r="BH334" s="182"/>
      <c r="BI334" s="183">
        <f>(BH334*$E334*$F334*$G334*$L334*$BI$12)</f>
        <v>0</v>
      </c>
      <c r="BJ334" s="182"/>
      <c r="BK334" s="183">
        <f>(BJ334*$E334*$F334*$G334*$L334*$BK$12)</f>
        <v>0</v>
      </c>
      <c r="BL334" s="182">
        <v>82</v>
      </c>
      <c r="BM334" s="182">
        <f t="shared" si="1424"/>
        <v>2039110.0118490632</v>
      </c>
      <c r="BN334" s="182">
        <v>579</v>
      </c>
      <c r="BO334" s="182">
        <f>(BN334*$E334*$F334*$G334*$M334*$BO$12)</f>
        <v>13615444.901520001</v>
      </c>
      <c r="BP334" s="182"/>
      <c r="BQ334" s="182">
        <f>(BP334*$E334*$F334*$G334*$M334*$BQ$12)</f>
        <v>0</v>
      </c>
      <c r="BR334" s="182"/>
      <c r="BS334" s="183">
        <f>(BR334*$E334*$F334*$G334*$M334*$BS$12)</f>
        <v>0</v>
      </c>
      <c r="BT334" s="182">
        <v>50</v>
      </c>
      <c r="BU334" s="182">
        <f t="shared" si="1426"/>
        <v>1190738.2457387201</v>
      </c>
      <c r="BV334" s="182">
        <v>3</v>
      </c>
      <c r="BW334" s="182">
        <f>(BV334*$E334*$F334*$G334*$M334*$BW$12)</f>
        <v>57719.738160000001</v>
      </c>
      <c r="BX334" s="182">
        <v>50</v>
      </c>
      <c r="BY334" s="183">
        <f t="shared" si="1427"/>
        <v>1441582.5270671998</v>
      </c>
      <c r="BZ334" s="182">
        <v>80</v>
      </c>
      <c r="CA334" s="187">
        <f t="shared" si="1428"/>
        <v>2235122.0383631997</v>
      </c>
      <c r="CB334" s="182"/>
      <c r="CC334" s="182">
        <f>(CB334*$E334*$F334*$G334*$L334*$CC$12)</f>
        <v>0</v>
      </c>
      <c r="CD334" s="182"/>
      <c r="CE334" s="182">
        <f>(CD334*$E334*$F334*$G334*$L334*$CE$12)</f>
        <v>0</v>
      </c>
      <c r="CF334" s="182"/>
      <c r="CG334" s="182">
        <f>(CF334*$E334*$F334*$G334*$L334*$CG$12)</f>
        <v>0</v>
      </c>
      <c r="CH334" s="182">
        <v>52</v>
      </c>
      <c r="CI334" s="182">
        <f t="shared" si="1429"/>
        <v>1238849.8565220961</v>
      </c>
      <c r="CJ334" s="182"/>
      <c r="CK334" s="182"/>
      <c r="CL334" s="182"/>
      <c r="CM334" s="183">
        <f>(CL334*$E334*$F334*$G334*$L334*$CM$12)</f>
        <v>0</v>
      </c>
      <c r="CN334" s="182"/>
      <c r="CO334" s="183">
        <f>(CN334*$E334*$F334*$G334*$L334*$CO$12)</f>
        <v>0</v>
      </c>
      <c r="CP334" s="182">
        <v>55</v>
      </c>
      <c r="CQ334" s="182">
        <f>(CP334*$E334*$F334*$G334*$L334*$CQ$12)/12*11+(CP334*$E334*$F334*$G334*$L334*$CQ$12*$CQ$15)/12</f>
        <v>1085943.4292783998</v>
      </c>
      <c r="CR334" s="182">
        <v>64</v>
      </c>
      <c r="CS334" s="182">
        <f t="shared" si="1430"/>
        <v>1366881.3093988262</v>
      </c>
      <c r="CT334" s="182">
        <f>100-8</f>
        <v>92</v>
      </c>
      <c r="CU334" s="182">
        <f t="shared" si="1431"/>
        <v>1720559.1237391201</v>
      </c>
      <c r="CV334" s="182">
        <v>129</v>
      </c>
      <c r="CW334" s="182">
        <v>2624110.220000003</v>
      </c>
      <c r="CX334" s="182">
        <v>30</v>
      </c>
      <c r="CY334" s="182">
        <f t="shared" si="1432"/>
        <v>692117.38027655997</v>
      </c>
      <c r="CZ334" s="182"/>
      <c r="DA334" s="182">
        <v>0</v>
      </c>
      <c r="DB334" s="188"/>
      <c r="DC334" s="182">
        <f>(DB334*$E334*$F334*$G334*$M334*$DC$12)</f>
        <v>0</v>
      </c>
      <c r="DD334" s="182"/>
      <c r="DE334" s="187"/>
      <c r="DF334" s="182">
        <v>0</v>
      </c>
      <c r="DG334" s="182">
        <f>(DF334*$E334*$F334*$G334*$M334*$DG$12)</f>
        <v>0</v>
      </c>
      <c r="DH334" s="189">
        <f>ROUND(6*0.75,0)</f>
        <v>5</v>
      </c>
      <c r="DI334" s="182">
        <f>(DH334*$E334*$F334*$G334*$M334*$DI$12)</f>
        <v>106888.40399999999</v>
      </c>
      <c r="DJ334" s="182">
        <v>35</v>
      </c>
      <c r="DK334" s="182">
        <f t="shared" si="1433"/>
        <v>815327.82171469997</v>
      </c>
      <c r="DL334" s="182">
        <f>ROUND(12*0.75,0)</f>
        <v>9</v>
      </c>
      <c r="DM334" s="182">
        <f>(DL334*$E334*$F334*$G334*$N334*$DM$12)</f>
        <v>255386.93669999999</v>
      </c>
      <c r="DN334" s="182">
        <f>ROUND(24*0.75,0)</f>
        <v>18</v>
      </c>
      <c r="DO334" s="190">
        <f>(DN334*$E334*$F334*$G334*$O334*$DO$12)</f>
        <v>588649.71059999987</v>
      </c>
      <c r="DP334" s="187"/>
      <c r="DQ334" s="187"/>
      <c r="DR334" s="183">
        <f t="shared" si="1434"/>
        <v>2052</v>
      </c>
      <c r="DS334" s="183">
        <f t="shared" si="1434"/>
        <v>45358574.164842531</v>
      </c>
      <c r="DT334" s="182">
        <v>2052</v>
      </c>
      <c r="DU334" s="182">
        <v>44008454.132963344</v>
      </c>
      <c r="DV334" s="167">
        <f t="shared" si="1035"/>
        <v>0</v>
      </c>
      <c r="DW334" s="167">
        <f t="shared" si="1035"/>
        <v>1350120.0318791866</v>
      </c>
    </row>
    <row r="335" spans="1:127" ht="60" customHeight="1" x14ac:dyDescent="0.25">
      <c r="A335" s="154"/>
      <c r="B335" s="176">
        <v>290</v>
      </c>
      <c r="C335" s="177" t="s">
        <v>744</v>
      </c>
      <c r="D335" s="210" t="s">
        <v>745</v>
      </c>
      <c r="E335" s="158">
        <v>25969</v>
      </c>
      <c r="F335" s="179">
        <v>0.64</v>
      </c>
      <c r="G335" s="168">
        <v>1</v>
      </c>
      <c r="H335" s="169"/>
      <c r="I335" s="169"/>
      <c r="J335" s="169"/>
      <c r="K335" s="106"/>
      <c r="L335" s="180">
        <v>1.4</v>
      </c>
      <c r="M335" s="180">
        <v>1.68</v>
      </c>
      <c r="N335" s="180">
        <v>2.23</v>
      </c>
      <c r="O335" s="181">
        <v>2.57</v>
      </c>
      <c r="P335" s="182">
        <v>1</v>
      </c>
      <c r="Q335" s="182">
        <f>(P335*$E335*$F335*$G335*$L335*$Q$12)</f>
        <v>25595.046399999999</v>
      </c>
      <c r="R335" s="182">
        <v>1</v>
      </c>
      <c r="S335" s="182">
        <f>(R335*$E335*$F335*$G335*$L335*$S$12)</f>
        <v>25595.046399999999</v>
      </c>
      <c r="T335" s="182">
        <v>1</v>
      </c>
      <c r="U335" s="182">
        <f t="shared" si="1419"/>
        <v>29376.132799999996</v>
      </c>
      <c r="V335" s="182"/>
      <c r="W335" s="183">
        <f t="shared" si="1420"/>
        <v>0</v>
      </c>
      <c r="X335" s="183"/>
      <c r="Y335" s="183">
        <v>0</v>
      </c>
      <c r="Z335" s="183"/>
      <c r="AA335" s="183">
        <v>0</v>
      </c>
      <c r="AB335" s="182">
        <f t="shared" si="1421"/>
        <v>0</v>
      </c>
      <c r="AC335" s="182">
        <f t="shared" si="1421"/>
        <v>0</v>
      </c>
      <c r="AD335" s="182"/>
      <c r="AE335" s="182">
        <f>(AD335*$E335*$F335*$G335*$L335*$AE$12)</f>
        <v>0</v>
      </c>
      <c r="AF335" s="182"/>
      <c r="AG335" s="182"/>
      <c r="AH335" s="182"/>
      <c r="AI335" s="182">
        <f>(AH335*$E335*$F335*$G335*$L335*$AI$12)</f>
        <v>0</v>
      </c>
      <c r="AJ335" s="182"/>
      <c r="AK335" s="182"/>
      <c r="AL335" s="182"/>
      <c r="AM335" s="182"/>
      <c r="AN335" s="182"/>
      <c r="AO335" s="182">
        <f>(AN335*$E335*$F335*$G335*$L335*$AO$12)</f>
        <v>0</v>
      </c>
      <c r="AP335" s="182">
        <v>1</v>
      </c>
      <c r="AQ335" s="183">
        <f>(AP335*$E335*$F335*$G335*$L335*$AQ$12)</f>
        <v>25595.046399999999</v>
      </c>
      <c r="AR335" s="182"/>
      <c r="AS335" s="182">
        <f t="shared" ref="AS335" si="1435">(AR335*$E335*$F335*$G335*$L335*$AS$12)/12*10+(AR335*$E335*$F335*$G335*$L335*$AS$13)/12*1+(AR335*$E335*$F335*$G335*$L335*$AS$14)/12*1</f>
        <v>0</v>
      </c>
      <c r="AT335" s="182"/>
      <c r="AU335" s="182">
        <f>(AT335*$E335*$F335*$G335*$M335*$AU$12)</f>
        <v>0</v>
      </c>
      <c r="AV335" s="188"/>
      <c r="AW335" s="182">
        <f>(AV335*$E335*$F335*$G335*$M335*$AW$12)</f>
        <v>0</v>
      </c>
      <c r="AX335" s="182"/>
      <c r="AY335" s="187">
        <f>(AX335*$E335*$F335*$G335*$M335*$AY$12)</f>
        <v>0</v>
      </c>
      <c r="AZ335" s="182"/>
      <c r="BA335" s="182">
        <f>(AZ335*$E335*$F335*$G335*$L335*$BA$12)</f>
        <v>0</v>
      </c>
      <c r="BB335" s="182">
        <v>0</v>
      </c>
      <c r="BC335" s="182">
        <f>(BB335*$E335*$F335*$G335*$L335*$BC$12)</f>
        <v>0</v>
      </c>
      <c r="BD335" s="182"/>
      <c r="BE335" s="182">
        <f>(BD335*$E335*$F335*$G335*$L335*$BE$12)</f>
        <v>0</v>
      </c>
      <c r="BF335" s="182"/>
      <c r="BG335" s="182">
        <f>(BF335*$E335*$F335*$G335*$L335*$BG$12)</f>
        <v>0</v>
      </c>
      <c r="BH335" s="182"/>
      <c r="BI335" s="183">
        <f>(BH335*$E335*$F335*$G335*$L335*$BI$12)</f>
        <v>0</v>
      </c>
      <c r="BJ335" s="182"/>
      <c r="BK335" s="183">
        <f>(BJ335*$E335*$F335*$G335*$L335*$BK$12)</f>
        <v>0</v>
      </c>
      <c r="BL335" s="182"/>
      <c r="BM335" s="182">
        <f>(BL335*$E335*$F335*$G335*$L335*$BM$12)</f>
        <v>0</v>
      </c>
      <c r="BN335" s="182"/>
      <c r="BO335" s="182">
        <f>(BN335*$E335*$F335*$G335*$M335*$BO$12)</f>
        <v>0</v>
      </c>
      <c r="BP335" s="182"/>
      <c r="BQ335" s="182">
        <f>(BP335*$E335*$F335*$G335*$M335*$BQ$12)</f>
        <v>0</v>
      </c>
      <c r="BR335" s="182"/>
      <c r="BS335" s="183">
        <f>(BR335*$E335*$F335*$G335*$M335*$BS$12)</f>
        <v>0</v>
      </c>
      <c r="BT335" s="182"/>
      <c r="BU335" s="182">
        <f>(BT335*$E335*$F335*$G335*$M335*$BU$12)</f>
        <v>0</v>
      </c>
      <c r="BV335" s="182"/>
      <c r="BW335" s="182">
        <f>(BV335*$E335*$F335*$G335*$M335*$BW$12)</f>
        <v>0</v>
      </c>
      <c r="BX335" s="182">
        <v>5</v>
      </c>
      <c r="BY335" s="183">
        <f t="shared" si="1427"/>
        <v>188288.33006592002</v>
      </c>
      <c r="BZ335" s="182"/>
      <c r="CA335" s="187">
        <f>(BZ335*$E335*$F335*$G335*$M335*$CA$12)</f>
        <v>0</v>
      </c>
      <c r="CB335" s="182"/>
      <c r="CC335" s="182">
        <f>(CB335*$E335*$F335*$G335*$L335*$CC$12)</f>
        <v>0</v>
      </c>
      <c r="CD335" s="182"/>
      <c r="CE335" s="182">
        <f>(CD335*$E335*$F335*$G335*$L335*$CE$12)</f>
        <v>0</v>
      </c>
      <c r="CF335" s="182"/>
      <c r="CG335" s="182">
        <f>(CF335*$E335*$F335*$G335*$L335*$CG$12)</f>
        <v>0</v>
      </c>
      <c r="CH335" s="182">
        <v>1</v>
      </c>
      <c r="CI335" s="182">
        <f t="shared" si="1429"/>
        <v>31117.107856127997</v>
      </c>
      <c r="CJ335" s="182"/>
      <c r="CK335" s="182"/>
      <c r="CL335" s="182"/>
      <c r="CM335" s="183">
        <f>(CL335*$E335*$F335*$G335*$L335*$CM$12)</f>
        <v>0</v>
      </c>
      <c r="CN335" s="182"/>
      <c r="CO335" s="183">
        <f>(CN335*$E335*$F335*$G335*$L335*$CO$12)</f>
        <v>0</v>
      </c>
      <c r="CP335" s="182"/>
      <c r="CQ335" s="182">
        <f>(CP335*$E335*$F335*$G335*$L335*$CQ$12)</f>
        <v>0</v>
      </c>
      <c r="CR335" s="182"/>
      <c r="CS335" s="182">
        <f>(CR335*$E335*$F335*$G335*$L335*$CS$12)</f>
        <v>0</v>
      </c>
      <c r="CT335" s="182"/>
      <c r="CU335" s="182">
        <f>(CT335*$E335*$F335*$G335*$L335*$CU$12)</f>
        <v>0</v>
      </c>
      <c r="CV335" s="182">
        <v>4</v>
      </c>
      <c r="CW335" s="182">
        <v>97726.549999999988</v>
      </c>
      <c r="CX335" s="182"/>
      <c r="CY335" s="182">
        <f>(CX335*$E335*$F335*$G335*$M335*$CY$12)</f>
        <v>0</v>
      </c>
      <c r="CZ335" s="182"/>
      <c r="DA335" s="182">
        <v>0</v>
      </c>
      <c r="DB335" s="188"/>
      <c r="DC335" s="182">
        <f>(DB335*$E335*$F335*$G335*$M335*$DC$12)</f>
        <v>0</v>
      </c>
      <c r="DD335" s="182"/>
      <c r="DE335" s="187"/>
      <c r="DF335" s="182"/>
      <c r="DG335" s="182">
        <f>(DF335*$E335*$F335*$G335*$M335*$DG$12)</f>
        <v>0</v>
      </c>
      <c r="DH335" s="189"/>
      <c r="DI335" s="182">
        <f>(DH335*$E335*$F335*$G335*$M335*$DI$12)</f>
        <v>0</v>
      </c>
      <c r="DJ335" s="182"/>
      <c r="DK335" s="182">
        <f>(DJ335*$E335*$F335*$G335*$M335*$DK$12)</f>
        <v>0</v>
      </c>
      <c r="DL335" s="182"/>
      <c r="DM335" s="182">
        <f>(DL335*$E335*$F335*$G335*$N335*$DM$12)</f>
        <v>0</v>
      </c>
      <c r="DN335" s="182"/>
      <c r="DO335" s="190">
        <f>(DN335*$E335*$F335*$G335*$O335*$DO$12)</f>
        <v>0</v>
      </c>
      <c r="DP335" s="187"/>
      <c r="DQ335" s="187"/>
      <c r="DR335" s="183">
        <f t="shared" si="1434"/>
        <v>14</v>
      </c>
      <c r="DS335" s="183">
        <f t="shared" si="1434"/>
        <v>423293.25992204802</v>
      </c>
      <c r="DT335" s="182">
        <v>13</v>
      </c>
      <c r="DU335" s="182">
        <v>373455.00440000003</v>
      </c>
      <c r="DV335" s="167">
        <f t="shared" si="1035"/>
        <v>1</v>
      </c>
      <c r="DW335" s="167">
        <f t="shared" si="1035"/>
        <v>49838.255522047984</v>
      </c>
    </row>
    <row r="336" spans="1:127" ht="24" customHeight="1" x14ac:dyDescent="0.25">
      <c r="A336" s="154"/>
      <c r="B336" s="176">
        <v>291</v>
      </c>
      <c r="C336" s="177" t="s">
        <v>746</v>
      </c>
      <c r="D336" s="210" t="s">
        <v>747</v>
      </c>
      <c r="E336" s="158">
        <v>25969</v>
      </c>
      <c r="F336" s="179">
        <v>0.73</v>
      </c>
      <c r="G336" s="168">
        <v>1</v>
      </c>
      <c r="H336" s="169"/>
      <c r="I336" s="169"/>
      <c r="J336" s="169"/>
      <c r="K336" s="106"/>
      <c r="L336" s="180">
        <v>1.4</v>
      </c>
      <c r="M336" s="180">
        <v>1.68</v>
      </c>
      <c r="N336" s="180">
        <v>2.23</v>
      </c>
      <c r="O336" s="181">
        <v>2.57</v>
      </c>
      <c r="P336" s="182">
        <v>101</v>
      </c>
      <c r="Q336" s="182">
        <f>(P336*$E336*$F336*$G336*$L336)</f>
        <v>2680572.1179999998</v>
      </c>
      <c r="R336" s="182"/>
      <c r="S336" s="187">
        <f>(R336*$E336*$F336*$G336*$L336)</f>
        <v>0</v>
      </c>
      <c r="T336" s="182"/>
      <c r="U336" s="182">
        <f>(T336*$E336*$F336*$G336*$L336)</f>
        <v>0</v>
      </c>
      <c r="V336" s="182"/>
      <c r="W336" s="182">
        <f>(V336*$E336*$F336*$G336*$L336)</f>
        <v>0</v>
      </c>
      <c r="X336" s="182"/>
      <c r="Y336" s="182">
        <v>0</v>
      </c>
      <c r="Z336" s="182"/>
      <c r="AA336" s="182">
        <v>0</v>
      </c>
      <c r="AB336" s="182">
        <f>X336+Z336</f>
        <v>0</v>
      </c>
      <c r="AC336" s="182">
        <f>Y336+AA336</f>
        <v>0</v>
      </c>
      <c r="AD336" s="182"/>
      <c r="AE336" s="182">
        <f>(AD336*$E336*$F336*$G336*$L336)</f>
        <v>0</v>
      </c>
      <c r="AF336" s="182"/>
      <c r="AG336" s="182"/>
      <c r="AH336" s="182">
        <v>5</v>
      </c>
      <c r="AI336" s="182">
        <f>(AH336*$E336*$F336*$G336*$L336)</f>
        <v>132701.58999999997</v>
      </c>
      <c r="AJ336" s="182"/>
      <c r="AK336" s="182"/>
      <c r="AL336" s="182"/>
      <c r="AM336" s="182"/>
      <c r="AN336" s="182"/>
      <c r="AO336" s="182">
        <f>(AN336*$E336*$F336*$G336*$L336)</f>
        <v>0</v>
      </c>
      <c r="AP336" s="182">
        <v>77</v>
      </c>
      <c r="AQ336" s="182">
        <f>(AP336*$E336*$F336*$G336*$L336)</f>
        <v>2043604.4859999998</v>
      </c>
      <c r="AR336" s="182"/>
      <c r="AS336" s="182">
        <f>(AR336*$E336*$F336*$G336*$L336)</f>
        <v>0</v>
      </c>
      <c r="AT336" s="182">
        <v>2</v>
      </c>
      <c r="AU336" s="183">
        <f>(AT336*$E336*$F336*$G336*$M336)</f>
        <v>63696.763199999994</v>
      </c>
      <c r="AV336" s="188"/>
      <c r="AW336" s="182">
        <f>(AV336*$E336*$F336*$G336*$M336)</f>
        <v>0</v>
      </c>
      <c r="AX336" s="182">
        <v>3</v>
      </c>
      <c r="AY336" s="187">
        <f>(AX336*$E336*$F336*$G336*$M336)</f>
        <v>95545.144799999995</v>
      </c>
      <c r="AZ336" s="182"/>
      <c r="BA336" s="182">
        <f>(AZ336*$E336*$F336*$G336*$L336*$AO$12)</f>
        <v>0</v>
      </c>
      <c r="BB336" s="182"/>
      <c r="BC336" s="182">
        <f>(BB336*$E336*$F336*$G336*$L336*BC$12)</f>
        <v>0</v>
      </c>
      <c r="BD336" s="182"/>
      <c r="BE336" s="182">
        <f>(BD336*$E336*$F336*$G336*$L336*BE$12)</f>
        <v>0</v>
      </c>
      <c r="BF336" s="182"/>
      <c r="BG336" s="182">
        <f>(BF336*$E336*$F336*$G336*$L336)</f>
        <v>0</v>
      </c>
      <c r="BH336" s="182"/>
      <c r="BI336" s="182">
        <f t="shared" ref="BI336" si="1436">(BH336*$E336*$F336*$G336*$L336)</f>
        <v>0</v>
      </c>
      <c r="BJ336" s="182"/>
      <c r="BK336" s="182"/>
      <c r="BL336" s="182">
        <v>6</v>
      </c>
      <c r="BM336" s="182">
        <f>(BL336*$E336*$F336*$G336*$L336)</f>
        <v>159241.908</v>
      </c>
      <c r="BN336" s="182">
        <v>37</v>
      </c>
      <c r="BO336" s="182">
        <f>(BN336*$E336*$F336*$G336*$M336)</f>
        <v>1178390.1191999998</v>
      </c>
      <c r="BP336" s="182"/>
      <c r="BQ336" s="182">
        <f>(BP336*$E336*$F336*$G336*$M336)</f>
        <v>0</v>
      </c>
      <c r="BR336" s="182"/>
      <c r="BS336" s="182">
        <f>(BR336*$E336*$F336*$G336*$M336)</f>
        <v>0</v>
      </c>
      <c r="BT336" s="182">
        <v>14</v>
      </c>
      <c r="BU336" s="182">
        <f>(BT336*$E336*$F336*$G336*$M336)</f>
        <v>445877.34239999996</v>
      </c>
      <c r="BV336" s="182">
        <v>9</v>
      </c>
      <c r="BW336" s="182">
        <f>(BV336*$E336*$F336*$G336*$M336)</f>
        <v>286635.43439999997</v>
      </c>
      <c r="BX336" s="182">
        <v>29</v>
      </c>
      <c r="BY336" s="182">
        <f>(BX336*$E336*$F336*$G336*$M336)</f>
        <v>923603.06639999989</v>
      </c>
      <c r="BZ336" s="182">
        <v>18</v>
      </c>
      <c r="CA336" s="187">
        <f>(BZ336*$E336*$F336*$G336*$M336)</f>
        <v>573270.86879999994</v>
      </c>
      <c r="CB336" s="182"/>
      <c r="CC336" s="182">
        <f>(CB336*$E336*$F336*$G336*$L336)</f>
        <v>0</v>
      </c>
      <c r="CD336" s="182"/>
      <c r="CE336" s="183">
        <f>(CD336*$E336*$F336*$G336*$L336)</f>
        <v>0</v>
      </c>
      <c r="CF336" s="182"/>
      <c r="CG336" s="182">
        <f>(CF336*$E336*$F336*$G336*$L336)</f>
        <v>0</v>
      </c>
      <c r="CH336" s="182">
        <v>10</v>
      </c>
      <c r="CI336" s="182">
        <f>(CH336*$E336*$F336*$G336*$M336)</f>
        <v>318483.81599999993</v>
      </c>
      <c r="CJ336" s="182"/>
      <c r="CK336" s="182"/>
      <c r="CL336" s="182"/>
      <c r="CM336" s="182">
        <f>(CL336*$E336*$F336*$G336*$L336)</f>
        <v>0</v>
      </c>
      <c r="CN336" s="182"/>
      <c r="CO336" s="182">
        <f>(CN336*$E336*$F336*$G336*$L336)</f>
        <v>0</v>
      </c>
      <c r="CP336" s="182"/>
      <c r="CQ336" s="182">
        <f>(CP336*$E336*$F336*$G336*$L336)</f>
        <v>0</v>
      </c>
      <c r="CR336" s="182">
        <v>10</v>
      </c>
      <c r="CS336" s="182">
        <f>(CR336*$E336*$F336*$G336*$L336)</f>
        <v>265403.17999999993</v>
      </c>
      <c r="CT336" s="182">
        <v>20</v>
      </c>
      <c r="CU336" s="182">
        <f>(CT336*$E336*$F336*$G336*$L336)</f>
        <v>530806.35999999987</v>
      </c>
      <c r="CV336" s="182">
        <v>32</v>
      </c>
      <c r="CW336" s="182">
        <v>1003223.97</v>
      </c>
      <c r="CX336" s="182">
        <v>30</v>
      </c>
      <c r="CY336" s="182">
        <f>(CX336*$E336*$F336*$G336*$M336)</f>
        <v>955451.44799999997</v>
      </c>
      <c r="CZ336" s="182"/>
      <c r="DA336" s="182">
        <v>0</v>
      </c>
      <c r="DB336" s="188"/>
      <c r="DC336" s="182">
        <f>(DB336*$E336*$F336*$G336*$M336)</f>
        <v>0</v>
      </c>
      <c r="DD336" s="182"/>
      <c r="DE336" s="187">
        <f>(DD336*$E336*$F336*$G336*$M336)</f>
        <v>0</v>
      </c>
      <c r="DF336" s="182"/>
      <c r="DG336" s="182"/>
      <c r="DH336" s="189"/>
      <c r="DI336" s="182">
        <f>(DH336*$E336*$F336*$G336*$M336)</f>
        <v>0</v>
      </c>
      <c r="DJ336" s="182">
        <v>3</v>
      </c>
      <c r="DK336" s="182">
        <f>(DJ336*$E336*$F336*$G336*$M336)</f>
        <v>95545.144799999995</v>
      </c>
      <c r="DL336" s="182"/>
      <c r="DM336" s="182">
        <f>(DL336*$E336*$F336*$G336*$N336)</f>
        <v>0</v>
      </c>
      <c r="DN336" s="182">
        <f>ROUND(3*0.75,0)</f>
        <v>2</v>
      </c>
      <c r="DO336" s="187">
        <f>(DN336*$E336*$F336*$G336*$O336)</f>
        <v>97440.881799999988</v>
      </c>
      <c r="DP336" s="187"/>
      <c r="DQ336" s="187"/>
      <c r="DR336" s="183">
        <f t="shared" si="1434"/>
        <v>408</v>
      </c>
      <c r="DS336" s="183">
        <f t="shared" si="1434"/>
        <v>11849493.641799998</v>
      </c>
      <c r="DT336" s="182">
        <v>408</v>
      </c>
      <c r="DU336" s="182">
        <v>11849493.641799998</v>
      </c>
      <c r="DV336" s="167">
        <f t="shared" si="1035"/>
        <v>0</v>
      </c>
      <c r="DW336" s="167">
        <f t="shared" si="1035"/>
        <v>0</v>
      </c>
    </row>
    <row r="337" spans="1:127" ht="45" customHeight="1" x14ac:dyDescent="0.25">
      <c r="A337" s="154"/>
      <c r="B337" s="176">
        <v>292</v>
      </c>
      <c r="C337" s="177" t="s">
        <v>748</v>
      </c>
      <c r="D337" s="210" t="s">
        <v>749</v>
      </c>
      <c r="E337" s="158">
        <v>25969</v>
      </c>
      <c r="F337" s="179">
        <v>0.67</v>
      </c>
      <c r="G337" s="168">
        <v>1</v>
      </c>
      <c r="H337" s="169"/>
      <c r="I337" s="169"/>
      <c r="J337" s="169"/>
      <c r="K337" s="106"/>
      <c r="L337" s="180">
        <v>1.4</v>
      </c>
      <c r="M337" s="180">
        <v>1.68</v>
      </c>
      <c r="N337" s="180">
        <v>2.23</v>
      </c>
      <c r="O337" s="181">
        <v>2.57</v>
      </c>
      <c r="P337" s="182">
        <v>53</v>
      </c>
      <c r="Q337" s="182">
        <f>(P337*$E337*$F337*$G337*$L337*$Q$12)</f>
        <v>1420125.1525999999</v>
      </c>
      <c r="R337" s="182">
        <v>1</v>
      </c>
      <c r="S337" s="182">
        <f>(R337*$E337*$F337*$G337*$L337*$S$12)</f>
        <v>26794.814200000001</v>
      </c>
      <c r="T337" s="182">
        <v>200</v>
      </c>
      <c r="U337" s="182">
        <f t="shared" ref="U337:U339" si="1437">(T337/12*11*$E337*$F337*$G337*$L337*$U$12)+(T337/12*1*$E337*$F337*$G337*$L337*$U$14)</f>
        <v>6150627.8050000006</v>
      </c>
      <c r="V337" s="182">
        <v>18</v>
      </c>
      <c r="W337" s="183">
        <f>(V337*$E337*$F337*$G337*$L337*$W$12)/12*10+(V337*$E337*$F337*$G337*$L337*$W$13)/12*1+(V337*$E337*$F337*$G337*$L337*$W$14*$W$15)/12*1</f>
        <v>557615.47834070399</v>
      </c>
      <c r="X337" s="183"/>
      <c r="Y337" s="183">
        <v>0</v>
      </c>
      <c r="Z337" s="183"/>
      <c r="AA337" s="183">
        <v>0</v>
      </c>
      <c r="AB337" s="182">
        <f t="shared" ref="AB337:AC346" si="1438">X337+Z337</f>
        <v>0</v>
      </c>
      <c r="AC337" s="182">
        <f t="shared" si="1438"/>
        <v>0</v>
      </c>
      <c r="AD337" s="182"/>
      <c r="AE337" s="182">
        <f>(AD337*$E337*$F337*$G337*$L337*$AE$12)</f>
        <v>0</v>
      </c>
      <c r="AF337" s="182"/>
      <c r="AG337" s="182"/>
      <c r="AH337" s="182">
        <v>8</v>
      </c>
      <c r="AI337" s="182">
        <f>(AH337*$E337*$F337*$G337*$L337*$AI$12)</f>
        <v>214358.51360000001</v>
      </c>
      <c r="AJ337" s="182"/>
      <c r="AK337" s="182"/>
      <c r="AL337" s="182"/>
      <c r="AM337" s="182"/>
      <c r="AN337" s="182"/>
      <c r="AO337" s="182">
        <f>(AN337*$E337*$F337*$G337*$L337*$AO$12)</f>
        <v>0</v>
      </c>
      <c r="AP337" s="182">
        <v>77</v>
      </c>
      <c r="AQ337" s="183">
        <f>(AP337*$E337*$F337*$G337*$L337*$AQ$12)</f>
        <v>2063200.6934000005</v>
      </c>
      <c r="AR337" s="182">
        <v>3</v>
      </c>
      <c r="AS337" s="182">
        <f t="shared" ref="AS337:AS339" si="1439">(AR337*$E337*$F337*$G337*$L337*$AS$12)/12*10+(AR337*$E337*$F337*$G337*$L337*$AS$13)/12*1+(AR337*$E337*$F337*$L337*$G337*$AS$14*$AS$15)/12*1</f>
        <v>86777.441678900024</v>
      </c>
      <c r="AT337" s="182">
        <v>25</v>
      </c>
      <c r="AU337" s="182">
        <f>(AT337*$E337*$F337*$G337*$M337*$AU$12)/12*10+(AT337*$E337*$F337*$G337*$M337*$AU$13)/12+(AT337*$E337*$F337*$G337*$M337*$AU$14*$AU$15)/12</f>
        <v>842136.28600016993</v>
      </c>
      <c r="AV337" s="188"/>
      <c r="AW337" s="182">
        <f>(AV337*$E337*$F337*$G337*$M337*$AW$12)</f>
        <v>0</v>
      </c>
      <c r="AX337" s="182">
        <v>2</v>
      </c>
      <c r="AY337" s="187">
        <f>(AX337*$E337*$F337*$G337*$M337*$AY$12)</f>
        <v>64307.554080000002</v>
      </c>
      <c r="AZ337" s="182"/>
      <c r="BA337" s="182">
        <f>(AZ337*$E337*$F337*$G337*$L337*$BA$12)</f>
        <v>0</v>
      </c>
      <c r="BB337" s="182">
        <v>0</v>
      </c>
      <c r="BC337" s="182">
        <f>(BB337*$E337*$F337*$G337*$L337*$BC$12)</f>
        <v>0</v>
      </c>
      <c r="BD337" s="182"/>
      <c r="BE337" s="182">
        <f>(BD337*$E337*$F337*$G337*$L337*$BE$12)</f>
        <v>0</v>
      </c>
      <c r="BF337" s="182"/>
      <c r="BG337" s="182">
        <f>(BF337*$E337*$F337*$G337*$L337*$BG$12)</f>
        <v>0</v>
      </c>
      <c r="BH337" s="182"/>
      <c r="BI337" s="183">
        <f>(BH337*$E337*$F337*$G337*$L337*$BI$12)</f>
        <v>0</v>
      </c>
      <c r="BJ337" s="182"/>
      <c r="BK337" s="183">
        <f>(BJ337*$E337*$F337*$G337*$L337*$BK$12)</f>
        <v>0</v>
      </c>
      <c r="BL337" s="182">
        <v>10</v>
      </c>
      <c r="BM337" s="182">
        <f t="shared" ref="BM337:BM339" si="1440">(BL337/12*11*$E337*$F337*$G337*$L337*$BM$12)+(BL337/12*$E337*$F337*$G337*$L337*$BM$12*$BM$15)</f>
        <v>340020.83323515998</v>
      </c>
      <c r="BN337" s="182">
        <v>30</v>
      </c>
      <c r="BO337" s="182">
        <f>(BN337*$E337*$F337*$G337*$M337*$BO$12)</f>
        <v>964613.31120000011</v>
      </c>
      <c r="BP337" s="182">
        <v>30</v>
      </c>
      <c r="BQ337" s="182">
        <f t="shared" ref="BQ337" si="1441">(BP337/12*11*$E337*$F337*$G337*$M337*$BQ$12)+(BP337/12*$E337*$F337*$G337*$M337*$BQ$14*$BQ$15)</f>
        <v>943101.70359258004</v>
      </c>
      <c r="BR337" s="182"/>
      <c r="BS337" s="183">
        <f>(BR337*$E337*$F337*$G337*$M337*$BS$12)</f>
        <v>0</v>
      </c>
      <c r="BT337" s="182">
        <v>12</v>
      </c>
      <c r="BU337" s="182">
        <f t="shared" ref="BU337:BU338" si="1442">(BT337*$E337*$F337*$G337*$M337*$BU$12)/12*10+(BT337*$E337*$F337*$G337*$M337*$BU$13)/12+(BT337*$E337*$F337*$G337*$M337*$BU$13*$BU$15)/12</f>
        <v>390756.55084650242</v>
      </c>
      <c r="BV337" s="182">
        <v>4</v>
      </c>
      <c r="BW337" s="182">
        <f>(BV337*$E337*$F337*$G337*$M337*$BW$12)</f>
        <v>105230.54304</v>
      </c>
      <c r="BX337" s="182">
        <v>12</v>
      </c>
      <c r="BY337" s="183">
        <f t="shared" ref="BY337:BY338" si="1443">(BX337*$E337*$F337*$G337*$M337*$BY$12)/12*11+(BX337*$E337*$F337*$G337*$M337*$BY$12*$BY$15)/12</f>
        <v>473074.42929062399</v>
      </c>
      <c r="BZ337" s="182">
        <v>20</v>
      </c>
      <c r="CA337" s="187">
        <f t="shared" ref="CA337:CA339" si="1444">(BZ337*$E337*$F337*$G337*$M337*$CA$12)/12*11+(BZ337*$E337*$F337*$G337*$M337*$CA$12*$CA$15)/12</f>
        <v>764046.81923639996</v>
      </c>
      <c r="CB337" s="182"/>
      <c r="CC337" s="182">
        <f>(CB337*$E337*$F337*$G337*$L337*$CC$12)</f>
        <v>0</v>
      </c>
      <c r="CD337" s="182">
        <v>1</v>
      </c>
      <c r="CE337" s="182">
        <f>(CD337*$E337*$F337*$G337*$L337*$CE$12)</f>
        <v>24358.921999999999</v>
      </c>
      <c r="CF337" s="182"/>
      <c r="CG337" s="182">
        <f>(CF337*$E337*$F337*$G337*$L337*$CG$12)</f>
        <v>0</v>
      </c>
      <c r="CH337" s="182">
        <v>18</v>
      </c>
      <c r="CI337" s="182">
        <f t="shared" ref="CI337:CI338" si="1445">(CH337*$E337*$F337*$G337*$M337*$CI$12)/12*11+(CH337*$E337*$F337*$G337*$M337*$CI$12*$CI$15)/12</f>
        <v>586363.00116391201</v>
      </c>
      <c r="CJ337" s="182"/>
      <c r="CK337" s="182"/>
      <c r="CL337" s="182"/>
      <c r="CM337" s="183">
        <f>(CL337*$E337*$F337*$G337*$L337*$CM$12)</f>
        <v>0</v>
      </c>
      <c r="CN337" s="182">
        <v>18</v>
      </c>
      <c r="CO337" s="183">
        <f>(CN337*$E337*$F337*$G337*$L337*$CO$12)</f>
        <v>350768.47680000006</v>
      </c>
      <c r="CP337" s="182"/>
      <c r="CQ337" s="182">
        <f>(CP337*$E337*$F337*$G337*$L337*$CQ$12)</f>
        <v>0</v>
      </c>
      <c r="CR337" s="182">
        <v>28</v>
      </c>
      <c r="CS337" s="182">
        <f t="shared" ref="CS337:CS338" si="1446">(CR337*$E337*$F337*$G337*$L337*$CS$12)/12*10+(CR337*$E337*$F337*$G337*$L337*$CS$13)/12+(CR337*$E337*$F337*$G337*$L337*$CS$13*$CS$15)/12</f>
        <v>817687.92615822668</v>
      </c>
      <c r="CT337" s="182">
        <v>8</v>
      </c>
      <c r="CU337" s="182">
        <f t="shared" ref="CU337:CU338" si="1447">(CT337*$E337*$F337*$G337*$L337*$CU$12)/12*11+(CT337*$E337*$F337*$G337*$L337*$CU$12*$CU$15)/12</f>
        <v>204574.02181103997</v>
      </c>
      <c r="CV337" s="182">
        <v>31</v>
      </c>
      <c r="CW337" s="182">
        <v>923603.16999999969</v>
      </c>
      <c r="CX337" s="182">
        <v>5</v>
      </c>
      <c r="CY337" s="182">
        <f t="shared" ref="CY337:CY338" si="1448">(CX337/12*11*$E337*$F337*$G337*$M337*$CY$12)+(CX337/12*$E337*$F337*$G337*$M337*$CY$15*$CY$12)</f>
        <v>157727.43019908</v>
      </c>
      <c r="CZ337" s="182">
        <v>1</v>
      </c>
      <c r="DA337" s="182">
        <v>29230.71</v>
      </c>
      <c r="DB337" s="188"/>
      <c r="DC337" s="182">
        <f>(DB337*$E337*$F337*$G337*$M337*$DC$12)</f>
        <v>0</v>
      </c>
      <c r="DD337" s="182"/>
      <c r="DE337" s="187"/>
      <c r="DF337" s="182"/>
      <c r="DG337" s="182">
        <f>(DF337*$E337*$F337*$G337*$M337*$DG$12)</f>
        <v>0</v>
      </c>
      <c r="DH337" s="189">
        <f>ROUND(1*0.75,0)</f>
        <v>1</v>
      </c>
      <c r="DI337" s="182">
        <f>(DH337*$E337*$F337*$G337*$M337*$DI$12)</f>
        <v>29230.706399999999</v>
      </c>
      <c r="DJ337" s="182">
        <v>12</v>
      </c>
      <c r="DK337" s="182">
        <f t="shared" ref="DK337:DK338" si="1449">(DJ337/12*11*$E337*$F337*$G337*$M337*$DK$12)+(DJ337/12*1*$E337*$F337*$M337*$G337*$DK$12*$DK$15)</f>
        <v>382229.48609831999</v>
      </c>
      <c r="DL337" s="182">
        <f>ROUND(4*0.75,0)</f>
        <v>3</v>
      </c>
      <c r="DM337" s="182">
        <f>(DL337*$E337*$F337*$G337*$N337*$DM$12)</f>
        <v>116400.8487</v>
      </c>
      <c r="DN337" s="182">
        <f>ROUND(2*0.75,0)</f>
        <v>2</v>
      </c>
      <c r="DO337" s="190">
        <f>(DN337*$E337*$F337*$G337*$O337*$DO$12)</f>
        <v>89432.042199999996</v>
      </c>
      <c r="DP337" s="187"/>
      <c r="DQ337" s="187"/>
      <c r="DR337" s="183">
        <f t="shared" si="1434"/>
        <v>633</v>
      </c>
      <c r="DS337" s="183">
        <f t="shared" si="1434"/>
        <v>19118394.670871619</v>
      </c>
      <c r="DT337" s="182">
        <v>634</v>
      </c>
      <c r="DU337" s="182">
        <v>18575986.170356669</v>
      </c>
      <c r="DV337" s="167">
        <f t="shared" ref="DV337:DW400" si="1450">DR337-DT337</f>
        <v>-1</v>
      </c>
      <c r="DW337" s="167">
        <f t="shared" si="1450"/>
        <v>542408.5005149506</v>
      </c>
    </row>
    <row r="338" spans="1:127" ht="30.75" customHeight="1" x14ac:dyDescent="0.25">
      <c r="A338" s="154"/>
      <c r="B338" s="176">
        <v>293</v>
      </c>
      <c r="C338" s="177" t="s">
        <v>750</v>
      </c>
      <c r="D338" s="210" t="s">
        <v>751</v>
      </c>
      <c r="E338" s="158">
        <v>25969</v>
      </c>
      <c r="F338" s="168">
        <v>1.2</v>
      </c>
      <c r="G338" s="168">
        <v>1</v>
      </c>
      <c r="H338" s="169"/>
      <c r="I338" s="169"/>
      <c r="J338" s="169"/>
      <c r="K338" s="106"/>
      <c r="L338" s="180">
        <v>1.4</v>
      </c>
      <c r="M338" s="180">
        <v>1.68</v>
      </c>
      <c r="N338" s="180">
        <v>2.23</v>
      </c>
      <c r="O338" s="181">
        <v>2.57</v>
      </c>
      <c r="P338" s="182">
        <v>91</v>
      </c>
      <c r="Q338" s="182">
        <f>(P338*$E338*$F338*$G338*$L338*$Q$12)</f>
        <v>4367154.7919999994</v>
      </c>
      <c r="R338" s="182">
        <v>1</v>
      </c>
      <c r="S338" s="182">
        <f>(R338*$E338*$F338*$G338*$L338*$S$12)</f>
        <v>47990.712</v>
      </c>
      <c r="T338" s="182"/>
      <c r="U338" s="182">
        <f t="shared" si="1437"/>
        <v>0</v>
      </c>
      <c r="V338" s="182"/>
      <c r="W338" s="183">
        <f t="shared" ref="W338:W339" si="1451">(V338*$E338*$F338*$G338*$L338*$W$12)/12*10+(V338*$E338*$F338*$G338*$L338*$W$13)/12*1++(V338*$E338*$F338*$G338*$L338*$W$14)/12*1</f>
        <v>0</v>
      </c>
      <c r="X338" s="183">
        <v>4</v>
      </c>
      <c r="Y338" s="183">
        <v>244316.35199999998</v>
      </c>
      <c r="Z338" s="183"/>
      <c r="AA338" s="183">
        <v>0</v>
      </c>
      <c r="AB338" s="182">
        <f t="shared" si="1438"/>
        <v>4</v>
      </c>
      <c r="AC338" s="182">
        <f t="shared" si="1438"/>
        <v>244316.35199999998</v>
      </c>
      <c r="AD338" s="182"/>
      <c r="AE338" s="182">
        <f>(AD338*$E338*$F338*$G338*$L338*$AE$12)</f>
        <v>0</v>
      </c>
      <c r="AF338" s="182"/>
      <c r="AG338" s="182"/>
      <c r="AH338" s="182">
        <v>30</v>
      </c>
      <c r="AI338" s="182">
        <f>(AH338*$E338*$F338*$G338*$L338*$AI$12)</f>
        <v>1439721.3599999999</v>
      </c>
      <c r="AJ338" s="182"/>
      <c r="AK338" s="182"/>
      <c r="AL338" s="182"/>
      <c r="AM338" s="182"/>
      <c r="AN338" s="182"/>
      <c r="AO338" s="182">
        <f>(AN338*$E338*$F338*$G338*$L338*$AO$12)</f>
        <v>0</v>
      </c>
      <c r="AP338" s="182">
        <v>137</v>
      </c>
      <c r="AQ338" s="183">
        <f>(AP338*$E338*$F338*$G338*$L338*$AQ$12)</f>
        <v>6574727.5439999998</v>
      </c>
      <c r="AR338" s="182"/>
      <c r="AS338" s="182">
        <f t="shared" si="1439"/>
        <v>0</v>
      </c>
      <c r="AT338" s="182"/>
      <c r="AU338" s="182">
        <f>(AT338*$E338*$F338*$G338*$M338*$AU$12)</f>
        <v>0</v>
      </c>
      <c r="AV338" s="188"/>
      <c r="AW338" s="182">
        <f>(AV338*$E338*$F338*$G338*$M338*$AW$12)</f>
        <v>0</v>
      </c>
      <c r="AX338" s="182">
        <v>10</v>
      </c>
      <c r="AY338" s="187">
        <f>(AX338*$E338*$F338*$G338*$M338*$AY$12)</f>
        <v>575888.54399999999</v>
      </c>
      <c r="AZ338" s="182"/>
      <c r="BA338" s="182">
        <f>(AZ338*$E338*$F338*$G338*$L338*$BA$12)</f>
        <v>0</v>
      </c>
      <c r="BB338" s="182">
        <v>0</v>
      </c>
      <c r="BC338" s="182">
        <f>(BB338*$E338*$F338*$G338*$L338*$BC$12)</f>
        <v>0</v>
      </c>
      <c r="BD338" s="182"/>
      <c r="BE338" s="182">
        <f>(BD338*$E338*$F338*$G338*$L338*$BE$12)</f>
        <v>0</v>
      </c>
      <c r="BF338" s="182"/>
      <c r="BG338" s="182">
        <f>(BF338*$E338*$F338*$G338*$L338*$BG$12)</f>
        <v>0</v>
      </c>
      <c r="BH338" s="182"/>
      <c r="BI338" s="183">
        <f>(BH338*$E338*$F338*$G338*$L338*$BI$12)</f>
        <v>0</v>
      </c>
      <c r="BJ338" s="182"/>
      <c r="BK338" s="183">
        <f>(BJ338*$E338*$F338*$G338*$L338*$BK$12)</f>
        <v>0</v>
      </c>
      <c r="BL338" s="182">
        <v>4</v>
      </c>
      <c r="BM338" s="182">
        <f t="shared" si="1440"/>
        <v>243597.01485503995</v>
      </c>
      <c r="BN338" s="182">
        <v>128</v>
      </c>
      <c r="BO338" s="182">
        <f>(BN338*$E338*$F338*$G338*$M338*$BO$12)</f>
        <v>7371373.3631999996</v>
      </c>
      <c r="BP338" s="182"/>
      <c r="BQ338" s="182">
        <f>(BP338*$E338*$F338*$G338*$M338*$BQ$12)</f>
        <v>0</v>
      </c>
      <c r="BR338" s="182"/>
      <c r="BS338" s="183">
        <f>(BR338*$E338*$F338*$G338*$M338*$BS$12)</f>
        <v>0</v>
      </c>
      <c r="BT338" s="182">
        <v>4</v>
      </c>
      <c r="BU338" s="182">
        <f t="shared" si="1442"/>
        <v>233287.49304268797</v>
      </c>
      <c r="BV338" s="182"/>
      <c r="BW338" s="182">
        <f>(BV338*$E338*$F338*$G338*$M338*$BW$12)</f>
        <v>0</v>
      </c>
      <c r="BX338" s="182">
        <v>3</v>
      </c>
      <c r="BY338" s="183">
        <f t="shared" si="1443"/>
        <v>211824.37132416002</v>
      </c>
      <c r="BZ338" s="182">
        <v>7</v>
      </c>
      <c r="CA338" s="187">
        <f t="shared" si="1444"/>
        <v>478954.72250640002</v>
      </c>
      <c r="CB338" s="182"/>
      <c r="CC338" s="182">
        <f>(CB338*$E338*$F338*$G338*$L338*$CC$12)</f>
        <v>0</v>
      </c>
      <c r="CD338" s="182"/>
      <c r="CE338" s="182">
        <f>(CD338*$E338*$F338*$G338*$L338*$CE$12)</f>
        <v>0</v>
      </c>
      <c r="CF338" s="182"/>
      <c r="CG338" s="182">
        <f>(CF338*$E338*$F338*$G338*$L338*$CG$12)</f>
        <v>0</v>
      </c>
      <c r="CH338" s="182">
        <v>1</v>
      </c>
      <c r="CI338" s="182">
        <f t="shared" si="1445"/>
        <v>58344.577230239993</v>
      </c>
      <c r="CJ338" s="182"/>
      <c r="CK338" s="182"/>
      <c r="CL338" s="182"/>
      <c r="CM338" s="183">
        <f>(CL338*$E338*$F338*$G338*$L338*$CM$12)</f>
        <v>0</v>
      </c>
      <c r="CN338" s="182"/>
      <c r="CO338" s="183">
        <f>(CN338*$E338*$F338*$G338*$L338*$CO$12)</f>
        <v>0</v>
      </c>
      <c r="CP338" s="182">
        <v>1</v>
      </c>
      <c r="CQ338" s="182">
        <f t="shared" ref="CQ338:CQ339" si="1452">(CP338*$E338*$F338*$G338*$L338*$CQ$12)/12*11+(CP338*$E338*$F338*$G338*$L338*$CQ$12*$CQ$15)/12</f>
        <v>48353.696294399997</v>
      </c>
      <c r="CR338" s="182">
        <v>4</v>
      </c>
      <c r="CS338" s="182">
        <f t="shared" si="1446"/>
        <v>209216.52694879999</v>
      </c>
      <c r="CT338" s="182">
        <v>3</v>
      </c>
      <c r="CU338" s="182">
        <f t="shared" si="1447"/>
        <v>137400.46241039998</v>
      </c>
      <c r="CV338" s="182">
        <v>15</v>
      </c>
      <c r="CW338" s="182">
        <v>785302.5</v>
      </c>
      <c r="CX338" s="182">
        <v>5</v>
      </c>
      <c r="CY338" s="182">
        <f t="shared" si="1448"/>
        <v>282496.88990880002</v>
      </c>
      <c r="CZ338" s="182"/>
      <c r="DA338" s="182">
        <v>0</v>
      </c>
      <c r="DB338" s="188"/>
      <c r="DC338" s="182">
        <f>(DB338*$E338*$F338*$G338*$M338*$DC$12)</f>
        <v>0</v>
      </c>
      <c r="DD338" s="182"/>
      <c r="DE338" s="187"/>
      <c r="DF338" s="182"/>
      <c r="DG338" s="182">
        <f>(DF338*$E338*$F338*$G338*$M338*$DG$12)</f>
        <v>0</v>
      </c>
      <c r="DH338" s="189"/>
      <c r="DI338" s="182">
        <f>(DH338*$E338*$F338*$G338*$M338*$DI$12)</f>
        <v>0</v>
      </c>
      <c r="DJ338" s="182"/>
      <c r="DK338" s="182">
        <f t="shared" si="1449"/>
        <v>0</v>
      </c>
      <c r="DL338" s="182"/>
      <c r="DM338" s="182">
        <f>(DL338*$E338*$F338*$G338*$N338*$DM$12)</f>
        <v>0</v>
      </c>
      <c r="DN338" s="182"/>
      <c r="DO338" s="190">
        <f>(DN338*$E338*$F338*$G338*$O338*$DO$12)</f>
        <v>0</v>
      </c>
      <c r="DP338" s="187"/>
      <c r="DQ338" s="187"/>
      <c r="DR338" s="183">
        <f t="shared" si="1434"/>
        <v>448</v>
      </c>
      <c r="DS338" s="183">
        <f t="shared" si="1434"/>
        <v>23309950.921720929</v>
      </c>
      <c r="DT338" s="182">
        <v>448</v>
      </c>
      <c r="DU338" s="182">
        <v>23133849.946400002</v>
      </c>
      <c r="DV338" s="167">
        <f t="shared" si="1450"/>
        <v>0</v>
      </c>
      <c r="DW338" s="167">
        <f t="shared" si="1450"/>
        <v>176100.9753209278</v>
      </c>
    </row>
    <row r="339" spans="1:127" ht="30" customHeight="1" x14ac:dyDescent="0.25">
      <c r="A339" s="154"/>
      <c r="B339" s="176">
        <v>294</v>
      </c>
      <c r="C339" s="177" t="s">
        <v>752</v>
      </c>
      <c r="D339" s="210" t="s">
        <v>753</v>
      </c>
      <c r="E339" s="158">
        <v>25969</v>
      </c>
      <c r="F339" s="179">
        <v>1.42</v>
      </c>
      <c r="G339" s="168">
        <v>1</v>
      </c>
      <c r="H339" s="169"/>
      <c r="I339" s="169"/>
      <c r="J339" s="169"/>
      <c r="K339" s="106"/>
      <c r="L339" s="180">
        <v>1.4</v>
      </c>
      <c r="M339" s="180">
        <v>1.68</v>
      </c>
      <c r="N339" s="180">
        <v>2.23</v>
      </c>
      <c r="O339" s="181">
        <v>2.57</v>
      </c>
      <c r="P339" s="182">
        <v>10</v>
      </c>
      <c r="Q339" s="182">
        <f>(P339*$E339*$F339*$G339*$L339*$Q$12)</f>
        <v>567890.09200000006</v>
      </c>
      <c r="R339" s="182">
        <v>1</v>
      </c>
      <c r="S339" s="182">
        <f>(R339*$E339*$F339*$G339*$L339*$S$12)</f>
        <v>56789.009199999993</v>
      </c>
      <c r="T339" s="182"/>
      <c r="U339" s="182">
        <f t="shared" si="1437"/>
        <v>0</v>
      </c>
      <c r="V339" s="182"/>
      <c r="W339" s="183">
        <f t="shared" si="1451"/>
        <v>0</v>
      </c>
      <c r="X339" s="183">
        <v>2</v>
      </c>
      <c r="Y339" s="183">
        <v>144553.84159999996</v>
      </c>
      <c r="Z339" s="183">
        <v>2</v>
      </c>
      <c r="AA339" s="183">
        <v>173464.60991999996</v>
      </c>
      <c r="AB339" s="182">
        <f t="shared" si="1438"/>
        <v>4</v>
      </c>
      <c r="AC339" s="182">
        <f t="shared" si="1438"/>
        <v>318018.45151999989</v>
      </c>
      <c r="AD339" s="182"/>
      <c r="AE339" s="182">
        <f>(AD339*$E339*$F339*$G339*$L339*$AE$12)</f>
        <v>0</v>
      </c>
      <c r="AF339" s="182"/>
      <c r="AG339" s="182"/>
      <c r="AH339" s="182">
        <v>20</v>
      </c>
      <c r="AI339" s="182">
        <f>(AH339*$E339*$F339*$G339*$L339*$AI$12)</f>
        <v>1135780.1840000001</v>
      </c>
      <c r="AJ339" s="182"/>
      <c r="AK339" s="182"/>
      <c r="AL339" s="182"/>
      <c r="AM339" s="182"/>
      <c r="AN339" s="182"/>
      <c r="AO339" s="182">
        <f>(AN339*$E339*$F339*$G339*$L339*$AO$12)</f>
        <v>0</v>
      </c>
      <c r="AP339" s="182">
        <v>10</v>
      </c>
      <c r="AQ339" s="183">
        <f>(AP339*$E339*$F339*$G339*$L339*$AQ$12)</f>
        <v>567890.09200000006</v>
      </c>
      <c r="AR339" s="182">
        <v>4</v>
      </c>
      <c r="AS339" s="182">
        <f t="shared" si="1439"/>
        <v>245221.82524186664</v>
      </c>
      <c r="AT339" s="182"/>
      <c r="AU339" s="182">
        <f>(AT339*$E339*$F339*$G339*$M339*$AU$12)</f>
        <v>0</v>
      </c>
      <c r="AV339" s="186">
        <v>13</v>
      </c>
      <c r="AW339" s="182">
        <v>1127519.9000000001</v>
      </c>
      <c r="AX339" s="182"/>
      <c r="AY339" s="187">
        <f>(AX339*$E339*$F339*$G339*$M339*$AY$12)</f>
        <v>0</v>
      </c>
      <c r="AZ339" s="182"/>
      <c r="BA339" s="182">
        <f>(AZ339*$E339*$F339*$G339*$L339*$BA$12)</f>
        <v>0</v>
      </c>
      <c r="BB339" s="182">
        <v>0</v>
      </c>
      <c r="BC339" s="182">
        <f>(BB339*$E339*$F339*$G339*$L339*$BC$12)</f>
        <v>0</v>
      </c>
      <c r="BD339" s="182"/>
      <c r="BE339" s="182">
        <f>(BD339*$E339*$F339*$G339*$L339*$BE$12)</f>
        <v>0</v>
      </c>
      <c r="BF339" s="182"/>
      <c r="BG339" s="182">
        <f>(BF339*$E339*$F339*$G339*$L339*$BG$12)</f>
        <v>0</v>
      </c>
      <c r="BH339" s="182"/>
      <c r="BI339" s="183">
        <f>(BH339*$E339*$F339*$G339*$L339*$BI$12)</f>
        <v>0</v>
      </c>
      <c r="BJ339" s="182"/>
      <c r="BK339" s="183">
        <f>(BJ339*$E339*$F339*$G339*$L339*$BK$12)</f>
        <v>0</v>
      </c>
      <c r="BL339" s="182">
        <v>3</v>
      </c>
      <c r="BM339" s="182">
        <f t="shared" si="1440"/>
        <v>216192.35068384797</v>
      </c>
      <c r="BN339" s="182">
        <v>7</v>
      </c>
      <c r="BO339" s="182">
        <f>(BN339*$E339*$F339*$G339*$M339*$BO$12)</f>
        <v>477027.67728</v>
      </c>
      <c r="BP339" s="182"/>
      <c r="BQ339" s="182">
        <f>(BP339*$E339*$F339*$G339*$M339*$BQ$12)</f>
        <v>0</v>
      </c>
      <c r="BR339" s="182"/>
      <c r="BS339" s="183">
        <f>(BR339*$E339*$F339*$G339*$M339*$BS$12)</f>
        <v>0</v>
      </c>
      <c r="BT339" s="182"/>
      <c r="BU339" s="182">
        <f>(BT339*$E339*$F339*$G339*$M339*$BU$12)</f>
        <v>0</v>
      </c>
      <c r="BV339" s="182"/>
      <c r="BW339" s="182">
        <f>(BV339*$E339*$F339*$G339*$M339*$BW$12)</f>
        <v>0</v>
      </c>
      <c r="BX339" s="182"/>
      <c r="BY339" s="183">
        <f>(BX339*$E339*$F339*$G339*$M339*$BY$12)</f>
        <v>0</v>
      </c>
      <c r="BZ339" s="182">
        <v>1</v>
      </c>
      <c r="CA339" s="187">
        <f t="shared" si="1444"/>
        <v>80966.155471319988</v>
      </c>
      <c r="CB339" s="182"/>
      <c r="CC339" s="182">
        <f>(CB339*$E339*$F339*$G339*$L339*$CC$12)</f>
        <v>0</v>
      </c>
      <c r="CD339" s="182"/>
      <c r="CE339" s="182">
        <f>(CD339*$E339*$F339*$G339*$L339*$CE$12)</f>
        <v>0</v>
      </c>
      <c r="CF339" s="182">
        <v>5</v>
      </c>
      <c r="CG339" s="182">
        <f>(CF339*$E339*$F339*$G339*$L339*$CG$12)</f>
        <v>258131.86</v>
      </c>
      <c r="CH339" s="182"/>
      <c r="CI339" s="182">
        <f>(CH339*$E339*$F339*$G339*$M339*$CI$12)</f>
        <v>0</v>
      </c>
      <c r="CJ339" s="182"/>
      <c r="CK339" s="182"/>
      <c r="CL339" s="182"/>
      <c r="CM339" s="183">
        <f>(CL339*$E339*$F339*$G339*$L339*$CM$12)</f>
        <v>0</v>
      </c>
      <c r="CN339" s="182"/>
      <c r="CO339" s="183">
        <f>(CN339*$E339*$F339*$G339*$L339*$CO$12)</f>
        <v>0</v>
      </c>
      <c r="CP339" s="182">
        <v>1</v>
      </c>
      <c r="CQ339" s="182">
        <f t="shared" si="1452"/>
        <v>57218.540615039994</v>
      </c>
      <c r="CR339" s="182"/>
      <c r="CS339" s="182">
        <f>(CR339*$E339*$F339*$G339*$L339*$CS$12)</f>
        <v>0</v>
      </c>
      <c r="CT339" s="182"/>
      <c r="CU339" s="182">
        <f>(CT339*$E339*$F339*$G339*$L339*$CU$12)</f>
        <v>0</v>
      </c>
      <c r="CV339" s="182"/>
      <c r="CW339" s="182">
        <v>0</v>
      </c>
      <c r="CX339" s="182"/>
      <c r="CY339" s="182">
        <f>(CX339*$E339*$F339*$G339*$M339*$CY$12)</f>
        <v>0</v>
      </c>
      <c r="CZ339" s="182"/>
      <c r="DA339" s="182">
        <v>0</v>
      </c>
      <c r="DB339" s="188"/>
      <c r="DC339" s="182">
        <f>(DB339*$E339*$F339*$G339*$M339*$DC$12)</f>
        <v>0</v>
      </c>
      <c r="DD339" s="182"/>
      <c r="DE339" s="187"/>
      <c r="DF339" s="182"/>
      <c r="DG339" s="182">
        <f>(DF339*$E339*$F339*$G339*$M339*$DG$12)</f>
        <v>0</v>
      </c>
      <c r="DH339" s="189"/>
      <c r="DI339" s="182">
        <f>(DH339*$E339*$F339*$G339*$M339*$DI$12)</f>
        <v>0</v>
      </c>
      <c r="DJ339" s="182"/>
      <c r="DK339" s="182">
        <f>(DJ339*$E339*$F339*$G339*$M339*$DK$12)</f>
        <v>0</v>
      </c>
      <c r="DL339" s="182"/>
      <c r="DM339" s="182">
        <f>(DL339*$E339*$F339*$G339*$N339*$DM$12)</f>
        <v>0</v>
      </c>
      <c r="DN339" s="182"/>
      <c r="DO339" s="190">
        <f>(DN339*$E339*$F339*$G339*$O339*$DO$12)</f>
        <v>0</v>
      </c>
      <c r="DP339" s="187"/>
      <c r="DQ339" s="187"/>
      <c r="DR339" s="183">
        <f t="shared" si="1434"/>
        <v>79</v>
      </c>
      <c r="DS339" s="183">
        <f t="shared" si="1434"/>
        <v>5108646.1380120758</v>
      </c>
      <c r="DT339" s="182">
        <v>83</v>
      </c>
      <c r="DU339" s="182">
        <v>5433503.5650933348</v>
      </c>
      <c r="DV339" s="167">
        <f t="shared" si="1450"/>
        <v>-4</v>
      </c>
      <c r="DW339" s="167">
        <f t="shared" si="1450"/>
        <v>-324857.42708125897</v>
      </c>
    </row>
    <row r="340" spans="1:127" ht="30" customHeight="1" x14ac:dyDescent="0.25">
      <c r="A340" s="154"/>
      <c r="B340" s="176">
        <v>295</v>
      </c>
      <c r="C340" s="177" t="s">
        <v>754</v>
      </c>
      <c r="D340" s="210" t="s">
        <v>755</v>
      </c>
      <c r="E340" s="158">
        <v>25969</v>
      </c>
      <c r="F340" s="179">
        <v>2.31</v>
      </c>
      <c r="G340" s="168">
        <v>1</v>
      </c>
      <c r="H340" s="169"/>
      <c r="I340" s="169"/>
      <c r="J340" s="169"/>
      <c r="K340" s="106"/>
      <c r="L340" s="180">
        <v>1.4</v>
      </c>
      <c r="M340" s="180">
        <v>1.68</v>
      </c>
      <c r="N340" s="180">
        <v>2.23</v>
      </c>
      <c r="O340" s="181">
        <v>2.57</v>
      </c>
      <c r="P340" s="182">
        <v>26</v>
      </c>
      <c r="Q340" s="182">
        <f t="shared" ref="Q340:Q341" si="1453">(P340*$E340*$F340*$G340*$L340)</f>
        <v>2183577.3960000002</v>
      </c>
      <c r="R340" s="182"/>
      <c r="S340" s="187">
        <f t="shared" ref="S340:S341" si="1454">(R340*$E340*$F340*$G340*$L340)</f>
        <v>0</v>
      </c>
      <c r="T340" s="182"/>
      <c r="U340" s="182">
        <f t="shared" ref="U340:U341" si="1455">(T340*$E340*$F340*$G340*$L340)</f>
        <v>0</v>
      </c>
      <c r="V340" s="182"/>
      <c r="W340" s="182">
        <f t="shared" ref="W340:W341" si="1456">(V340*$E340*$F340*$G340*$L340)</f>
        <v>0</v>
      </c>
      <c r="X340" s="182">
        <v>5</v>
      </c>
      <c r="Y340" s="182">
        <v>419918.73</v>
      </c>
      <c r="Z340" s="182"/>
      <c r="AA340" s="182">
        <v>0</v>
      </c>
      <c r="AB340" s="182">
        <f t="shared" si="1438"/>
        <v>5</v>
      </c>
      <c r="AC340" s="182">
        <f t="shared" si="1438"/>
        <v>419918.73</v>
      </c>
      <c r="AD340" s="182"/>
      <c r="AE340" s="182">
        <f t="shared" ref="AE340:AE341" si="1457">(AD340*$E340*$F340*$G340*$L340)</f>
        <v>0</v>
      </c>
      <c r="AF340" s="182"/>
      <c r="AG340" s="182"/>
      <c r="AH340" s="182"/>
      <c r="AI340" s="182">
        <f t="shared" ref="AI340:AI341" si="1458">(AH340*$E340*$F340*$G340*$L340)</f>
        <v>0</v>
      </c>
      <c r="AJ340" s="182"/>
      <c r="AK340" s="182"/>
      <c r="AL340" s="182"/>
      <c r="AM340" s="182"/>
      <c r="AN340" s="182"/>
      <c r="AO340" s="182">
        <f t="shared" ref="AO340:AO341" si="1459">(AN340*$E340*$F340*$G340*$L340)</f>
        <v>0</v>
      </c>
      <c r="AP340" s="182">
        <v>4</v>
      </c>
      <c r="AQ340" s="182">
        <f t="shared" ref="AQ340:AQ341" si="1460">(AP340*$E340*$F340*$G340*$L340)</f>
        <v>335934.984</v>
      </c>
      <c r="AR340" s="182">
        <v>1</v>
      </c>
      <c r="AS340" s="182">
        <f t="shared" ref="AS340:AS341" si="1461">(AR340*$E340*$F340*$G340*$L340)</f>
        <v>83983.745999999999</v>
      </c>
      <c r="AT340" s="182"/>
      <c r="AU340" s="183">
        <f t="shared" ref="AU340:AU341" si="1462">(AT340*$E340*$F340*$G340*$M340)</f>
        <v>0</v>
      </c>
      <c r="AV340" s="188">
        <v>0</v>
      </c>
      <c r="AW340" s="182">
        <v>0</v>
      </c>
      <c r="AX340" s="182"/>
      <c r="AY340" s="187">
        <f t="shared" ref="AY340:AY341" si="1463">(AX340*$E340*$F340*$G340*$M340)</f>
        <v>0</v>
      </c>
      <c r="AZ340" s="182"/>
      <c r="BA340" s="182">
        <f>(AZ340*$E340*$F340*$G340*$L340*$AO$12)</f>
        <v>0</v>
      </c>
      <c r="BB340" s="182">
        <v>0</v>
      </c>
      <c r="BC340" s="182">
        <f t="shared" ref="BC340:BC341" si="1464">(BB340*$E340*$F340*$G340*$L340*BC$12)</f>
        <v>0</v>
      </c>
      <c r="BD340" s="182"/>
      <c r="BE340" s="182">
        <f>(BD340*$E340*$F340*$G340*$L340*BE$12)</f>
        <v>0</v>
      </c>
      <c r="BF340" s="182"/>
      <c r="BG340" s="182">
        <f t="shared" ref="BG340:BG341" si="1465">(BF340*$E340*$F340*$G340*$L340)</f>
        <v>0</v>
      </c>
      <c r="BH340" s="182"/>
      <c r="BI340" s="182">
        <f t="shared" ref="BI340:BI341" si="1466">(BH340*$E340*$F340*$G340*$L340)</f>
        <v>0</v>
      </c>
      <c r="BJ340" s="182"/>
      <c r="BK340" s="182"/>
      <c r="BL340" s="182"/>
      <c r="BM340" s="182">
        <f t="shared" ref="BM340:BM341" si="1467">(BL340*$E340*$F340*$G340*$L340)</f>
        <v>0</v>
      </c>
      <c r="BN340" s="182">
        <v>25</v>
      </c>
      <c r="BO340" s="182">
        <f t="shared" ref="BO340:BO341" si="1468">(BN340*$E340*$F340*$G340*$M340)</f>
        <v>2519512.38</v>
      </c>
      <c r="BP340" s="182"/>
      <c r="BQ340" s="182">
        <f t="shared" ref="BQ340:BQ341" si="1469">(BP340*$E340*$F340*$G340*$M340)</f>
        <v>0</v>
      </c>
      <c r="BR340" s="182"/>
      <c r="BS340" s="182">
        <f t="shared" ref="BS340:BS341" si="1470">(BR340*$E340*$F340*$G340*$M340)</f>
        <v>0</v>
      </c>
      <c r="BT340" s="182"/>
      <c r="BU340" s="182">
        <f t="shared" ref="BU340:BU341" si="1471">(BT340*$E340*$F340*$G340*$M340)</f>
        <v>0</v>
      </c>
      <c r="BV340" s="182"/>
      <c r="BW340" s="182">
        <f t="shared" ref="BW340:BW341" si="1472">(BV340*$E340*$F340*$G340*$M340)</f>
        <v>0</v>
      </c>
      <c r="BX340" s="182"/>
      <c r="BY340" s="182">
        <f t="shared" ref="BY340:BY341" si="1473">(BX340*$E340*$F340*$G340*$M340)</f>
        <v>0</v>
      </c>
      <c r="BZ340" s="182">
        <v>2</v>
      </c>
      <c r="CA340" s="187">
        <f t="shared" ref="CA340:CA341" si="1474">(BZ340*$E340*$F340*$G340*$M340)</f>
        <v>201560.99039999998</v>
      </c>
      <c r="CB340" s="182"/>
      <c r="CC340" s="182">
        <f t="shared" ref="CC340:CC341" si="1475">(CB340*$E340*$F340*$G340*$L340)</f>
        <v>0</v>
      </c>
      <c r="CD340" s="182"/>
      <c r="CE340" s="183">
        <f t="shared" ref="CE340:CE341" si="1476">(CD340*$E340*$F340*$G340*$L340)</f>
        <v>0</v>
      </c>
      <c r="CF340" s="182"/>
      <c r="CG340" s="182">
        <f t="shared" ref="CG340:CG341" si="1477">(CF340*$E340*$F340*$G340*$L340)</f>
        <v>0</v>
      </c>
      <c r="CH340" s="182"/>
      <c r="CI340" s="182">
        <f t="shared" ref="CI340:CI341" si="1478">(CH340*$E340*$F340*$G340*$M340)</f>
        <v>0</v>
      </c>
      <c r="CJ340" s="182"/>
      <c r="CK340" s="182"/>
      <c r="CL340" s="182"/>
      <c r="CM340" s="182">
        <f t="shared" ref="CM340:CM341" si="1479">(CL340*$E340*$F340*$G340*$L340)</f>
        <v>0</v>
      </c>
      <c r="CN340" s="182"/>
      <c r="CO340" s="182">
        <f t="shared" ref="CO340:CO341" si="1480">(CN340*$E340*$F340*$G340*$L340)</f>
        <v>0</v>
      </c>
      <c r="CP340" s="182"/>
      <c r="CQ340" s="182">
        <f t="shared" ref="CQ340:CQ341" si="1481">(CP340*$E340*$F340*$G340*$L340)</f>
        <v>0</v>
      </c>
      <c r="CR340" s="182"/>
      <c r="CS340" s="182">
        <f t="shared" ref="CS340:CS341" si="1482">(CR340*$E340*$F340*$G340*$L340)</f>
        <v>0</v>
      </c>
      <c r="CT340" s="182"/>
      <c r="CU340" s="182">
        <f t="shared" ref="CU340:CU341" si="1483">(CT340*$E340*$F340*$G340*$L340)</f>
        <v>0</v>
      </c>
      <c r="CV340" s="182"/>
      <c r="CW340" s="182">
        <v>0</v>
      </c>
      <c r="CX340" s="182"/>
      <c r="CY340" s="182">
        <f t="shared" ref="CY340:CY341" si="1484">(CX340*$E340*$F340*$G340*$M340)</f>
        <v>0</v>
      </c>
      <c r="CZ340" s="182"/>
      <c r="DA340" s="182">
        <v>0</v>
      </c>
      <c r="DB340" s="188"/>
      <c r="DC340" s="182">
        <f t="shared" ref="DC340:DC341" si="1485">(DB340*$E340*$F340*$G340*$M340)</f>
        <v>0</v>
      </c>
      <c r="DD340" s="182"/>
      <c r="DE340" s="187">
        <f t="shared" ref="DE340:DE341" si="1486">(DD340*$E340*$F340*$G340*$M340)</f>
        <v>0</v>
      </c>
      <c r="DF340" s="182"/>
      <c r="DG340" s="182"/>
      <c r="DH340" s="189"/>
      <c r="DI340" s="182">
        <f t="shared" ref="DI340:DI341" si="1487">(DH340*$E340*$F340*$G340*$M340)</f>
        <v>0</v>
      </c>
      <c r="DJ340" s="182"/>
      <c r="DK340" s="182">
        <f t="shared" ref="DK340:DK341" si="1488">(DJ340*$E340*$F340*$G340*$M340)</f>
        <v>0</v>
      </c>
      <c r="DL340" s="182"/>
      <c r="DM340" s="182">
        <f t="shared" ref="DM340:DM341" si="1489">(DL340*$E340*$F340*$G340*$N340)</f>
        <v>0</v>
      </c>
      <c r="DN340" s="182"/>
      <c r="DO340" s="187">
        <f t="shared" ref="DO340:DO341" si="1490">(DN340*$E340*$F340*$G340*$O340)</f>
        <v>0</v>
      </c>
      <c r="DP340" s="187"/>
      <c r="DQ340" s="187"/>
      <c r="DR340" s="183">
        <f t="shared" si="1434"/>
        <v>63</v>
      </c>
      <c r="DS340" s="183">
        <f t="shared" si="1434"/>
        <v>5744488.2263999991</v>
      </c>
      <c r="DT340" s="182">
        <v>63</v>
      </c>
      <c r="DU340" s="182">
        <v>5744488.2263999991</v>
      </c>
      <c r="DV340" s="167">
        <f t="shared" si="1450"/>
        <v>0</v>
      </c>
      <c r="DW340" s="167">
        <f t="shared" si="1450"/>
        <v>0</v>
      </c>
    </row>
    <row r="341" spans="1:127" ht="30" customHeight="1" x14ac:dyDescent="0.25">
      <c r="A341" s="154"/>
      <c r="B341" s="176">
        <v>296</v>
      </c>
      <c r="C341" s="177" t="s">
        <v>756</v>
      </c>
      <c r="D341" s="210" t="s">
        <v>757</v>
      </c>
      <c r="E341" s="158">
        <v>25969</v>
      </c>
      <c r="F341" s="179">
        <v>3.12</v>
      </c>
      <c r="G341" s="243">
        <v>0.8</v>
      </c>
      <c r="H341" s="242"/>
      <c r="I341" s="242"/>
      <c r="J341" s="242"/>
      <c r="K341" s="106"/>
      <c r="L341" s="180">
        <v>1.4</v>
      </c>
      <c r="M341" s="180">
        <v>1.68</v>
      </c>
      <c r="N341" s="180">
        <v>2.23</v>
      </c>
      <c r="O341" s="181">
        <v>2.57</v>
      </c>
      <c r="P341" s="182">
        <v>96</v>
      </c>
      <c r="Q341" s="182">
        <f t="shared" si="1453"/>
        <v>8711623.0656000003</v>
      </c>
      <c r="R341" s="182"/>
      <c r="S341" s="187">
        <f t="shared" si="1454"/>
        <v>0</v>
      </c>
      <c r="T341" s="182"/>
      <c r="U341" s="182">
        <f t="shared" si="1455"/>
        <v>0</v>
      </c>
      <c r="V341" s="182"/>
      <c r="W341" s="182">
        <f t="shared" si="1456"/>
        <v>0</v>
      </c>
      <c r="X341" s="182">
        <v>0</v>
      </c>
      <c r="Y341" s="182">
        <v>0</v>
      </c>
      <c r="Z341" s="182"/>
      <c r="AA341" s="182">
        <v>0</v>
      </c>
      <c r="AB341" s="182">
        <f t="shared" si="1438"/>
        <v>0</v>
      </c>
      <c r="AC341" s="182">
        <f t="shared" si="1438"/>
        <v>0</v>
      </c>
      <c r="AD341" s="182"/>
      <c r="AE341" s="182">
        <f t="shared" si="1457"/>
        <v>0</v>
      </c>
      <c r="AF341" s="182"/>
      <c r="AG341" s="182"/>
      <c r="AH341" s="182">
        <v>30</v>
      </c>
      <c r="AI341" s="182">
        <f t="shared" si="1458"/>
        <v>2722382.2079999996</v>
      </c>
      <c r="AJ341" s="182"/>
      <c r="AK341" s="182"/>
      <c r="AL341" s="182"/>
      <c r="AM341" s="182"/>
      <c r="AN341" s="182"/>
      <c r="AO341" s="182">
        <f t="shared" si="1459"/>
        <v>0</v>
      </c>
      <c r="AP341" s="182">
        <v>33</v>
      </c>
      <c r="AQ341" s="182">
        <f t="shared" si="1460"/>
        <v>2994620.4287999999</v>
      </c>
      <c r="AR341" s="182"/>
      <c r="AS341" s="182">
        <f t="shared" si="1461"/>
        <v>0</v>
      </c>
      <c r="AT341" s="182"/>
      <c r="AU341" s="183">
        <f t="shared" si="1462"/>
        <v>0</v>
      </c>
      <c r="AV341" s="188">
        <v>0</v>
      </c>
      <c r="AW341" s="182">
        <v>0</v>
      </c>
      <c r="AX341" s="182"/>
      <c r="AY341" s="187">
        <f t="shared" si="1463"/>
        <v>0</v>
      </c>
      <c r="AZ341" s="182"/>
      <c r="BA341" s="182">
        <f>(AZ341*$E341*$F341*$G341*$L341*$AO$12)</f>
        <v>0</v>
      </c>
      <c r="BB341" s="182">
        <v>0</v>
      </c>
      <c r="BC341" s="182">
        <f t="shared" si="1464"/>
        <v>0</v>
      </c>
      <c r="BD341" s="182"/>
      <c r="BE341" s="182">
        <f>(BD341*$E341*$F341*$G341*$L341*BE$12)</f>
        <v>0</v>
      </c>
      <c r="BF341" s="182"/>
      <c r="BG341" s="182">
        <f t="shared" si="1465"/>
        <v>0</v>
      </c>
      <c r="BH341" s="182"/>
      <c r="BI341" s="182">
        <f t="shared" si="1466"/>
        <v>0</v>
      </c>
      <c r="BJ341" s="182"/>
      <c r="BK341" s="182"/>
      <c r="BL341" s="182"/>
      <c r="BM341" s="182">
        <f t="shared" si="1467"/>
        <v>0</v>
      </c>
      <c r="BN341" s="182">
        <v>60</v>
      </c>
      <c r="BO341" s="182">
        <f t="shared" si="1468"/>
        <v>6533717.2991999993</v>
      </c>
      <c r="BP341" s="182"/>
      <c r="BQ341" s="182">
        <f t="shared" si="1469"/>
        <v>0</v>
      </c>
      <c r="BR341" s="182"/>
      <c r="BS341" s="182">
        <f t="shared" si="1470"/>
        <v>0</v>
      </c>
      <c r="BT341" s="182"/>
      <c r="BU341" s="182">
        <f t="shared" si="1471"/>
        <v>0</v>
      </c>
      <c r="BV341" s="182"/>
      <c r="BW341" s="182">
        <f t="shared" si="1472"/>
        <v>0</v>
      </c>
      <c r="BX341" s="182"/>
      <c r="BY341" s="182">
        <f t="shared" si="1473"/>
        <v>0</v>
      </c>
      <c r="BZ341" s="182"/>
      <c r="CA341" s="187">
        <f t="shared" si="1474"/>
        <v>0</v>
      </c>
      <c r="CB341" s="182"/>
      <c r="CC341" s="182">
        <f t="shared" si="1475"/>
        <v>0</v>
      </c>
      <c r="CD341" s="182"/>
      <c r="CE341" s="183">
        <f t="shared" si="1476"/>
        <v>0</v>
      </c>
      <c r="CF341" s="182"/>
      <c r="CG341" s="182">
        <f t="shared" si="1477"/>
        <v>0</v>
      </c>
      <c r="CH341" s="182"/>
      <c r="CI341" s="182">
        <f t="shared" si="1478"/>
        <v>0</v>
      </c>
      <c r="CJ341" s="182"/>
      <c r="CK341" s="182"/>
      <c r="CL341" s="182"/>
      <c r="CM341" s="182">
        <f t="shared" si="1479"/>
        <v>0</v>
      </c>
      <c r="CN341" s="182"/>
      <c r="CO341" s="182">
        <f t="shared" si="1480"/>
        <v>0</v>
      </c>
      <c r="CP341" s="182"/>
      <c r="CQ341" s="182">
        <f t="shared" si="1481"/>
        <v>0</v>
      </c>
      <c r="CR341" s="182"/>
      <c r="CS341" s="182">
        <f t="shared" si="1482"/>
        <v>0</v>
      </c>
      <c r="CT341" s="182"/>
      <c r="CU341" s="182">
        <f t="shared" si="1483"/>
        <v>0</v>
      </c>
      <c r="CV341" s="182"/>
      <c r="CW341" s="182">
        <v>0</v>
      </c>
      <c r="CX341" s="182"/>
      <c r="CY341" s="182">
        <f t="shared" si="1484"/>
        <v>0</v>
      </c>
      <c r="CZ341" s="182"/>
      <c r="DA341" s="182">
        <v>0</v>
      </c>
      <c r="DB341" s="188"/>
      <c r="DC341" s="182">
        <f t="shared" si="1485"/>
        <v>0</v>
      </c>
      <c r="DD341" s="182"/>
      <c r="DE341" s="187">
        <f t="shared" si="1486"/>
        <v>0</v>
      </c>
      <c r="DF341" s="182"/>
      <c r="DG341" s="182"/>
      <c r="DH341" s="189"/>
      <c r="DI341" s="182">
        <f t="shared" si="1487"/>
        <v>0</v>
      </c>
      <c r="DJ341" s="182"/>
      <c r="DK341" s="182">
        <f t="shared" si="1488"/>
        <v>0</v>
      </c>
      <c r="DL341" s="182"/>
      <c r="DM341" s="182">
        <f t="shared" si="1489"/>
        <v>0</v>
      </c>
      <c r="DN341" s="182"/>
      <c r="DO341" s="187">
        <f t="shared" si="1490"/>
        <v>0</v>
      </c>
      <c r="DP341" s="187"/>
      <c r="DQ341" s="187"/>
      <c r="DR341" s="183">
        <f t="shared" si="1434"/>
        <v>219</v>
      </c>
      <c r="DS341" s="183">
        <f t="shared" si="1434"/>
        <v>20962343.001600001</v>
      </c>
      <c r="DT341" s="182">
        <v>219</v>
      </c>
      <c r="DU341" s="182">
        <v>20962343.001600001</v>
      </c>
      <c r="DV341" s="167">
        <f t="shared" si="1450"/>
        <v>0</v>
      </c>
      <c r="DW341" s="167">
        <f t="shared" si="1450"/>
        <v>0</v>
      </c>
    </row>
    <row r="342" spans="1:127" ht="30" customHeight="1" x14ac:dyDescent="0.25">
      <c r="A342" s="154"/>
      <c r="B342" s="176">
        <v>297</v>
      </c>
      <c r="C342" s="177" t="s">
        <v>758</v>
      </c>
      <c r="D342" s="210" t="s">
        <v>759</v>
      </c>
      <c r="E342" s="158">
        <v>25969</v>
      </c>
      <c r="F342" s="179">
        <v>1.08</v>
      </c>
      <c r="G342" s="168">
        <v>1</v>
      </c>
      <c r="H342" s="169"/>
      <c r="I342" s="169"/>
      <c r="J342" s="169"/>
      <c r="K342" s="106"/>
      <c r="L342" s="180">
        <v>1.4</v>
      </c>
      <c r="M342" s="180">
        <v>1.68</v>
      </c>
      <c r="N342" s="180">
        <v>2.23</v>
      </c>
      <c r="O342" s="181">
        <v>2.57</v>
      </c>
      <c r="P342" s="182">
        <v>250</v>
      </c>
      <c r="Q342" s="182">
        <f>(P342*$E342*$F342*$G342*$L342*$Q$12)</f>
        <v>10797910.200000001</v>
      </c>
      <c r="R342" s="182">
        <v>2</v>
      </c>
      <c r="S342" s="182">
        <f>(R342*$E342*$F342*$G342*$L342*$S$12)</f>
        <v>86383.281600000002</v>
      </c>
      <c r="T342" s="182"/>
      <c r="U342" s="182">
        <f t="shared" ref="U342:U346" si="1491">(T342/12*11*$E342*$F342*$G342*$L342*$U$12)+(T342/12*1*$E342*$F342*$G342*$L342*$U$14)</f>
        <v>0</v>
      </c>
      <c r="V342" s="182"/>
      <c r="W342" s="183">
        <f t="shared" ref="W342:W346" si="1492">(V342*$E342*$F342*$G342*$L342*$W$12)/12*10+(V342*$E342*$F342*$G342*$L342*$W$13)/12*1++(V342*$E342*$F342*$G342*$L342*$W$14)/12*1</f>
        <v>0</v>
      </c>
      <c r="X342" s="183">
        <v>44</v>
      </c>
      <c r="Y342" s="183">
        <v>2418731.8847999997</v>
      </c>
      <c r="Z342" s="183">
        <v>0</v>
      </c>
      <c r="AA342" s="183">
        <v>0</v>
      </c>
      <c r="AB342" s="182">
        <f t="shared" si="1438"/>
        <v>44</v>
      </c>
      <c r="AC342" s="182">
        <f t="shared" si="1438"/>
        <v>2418731.8847999997</v>
      </c>
      <c r="AD342" s="182"/>
      <c r="AE342" s="182">
        <f>(AD342*$E342*$F342*$G342*$L342*$AE$12)</f>
        <v>0</v>
      </c>
      <c r="AF342" s="182"/>
      <c r="AG342" s="182"/>
      <c r="AH342" s="182">
        <v>25</v>
      </c>
      <c r="AI342" s="182">
        <f>(AH342*$E342*$F342*$G342*$L342*$AI$12)</f>
        <v>1079791.02</v>
      </c>
      <c r="AJ342" s="182"/>
      <c r="AK342" s="182"/>
      <c r="AL342" s="182"/>
      <c r="AM342" s="182"/>
      <c r="AN342" s="182"/>
      <c r="AO342" s="182">
        <f>(AN342*$E342*$F342*$G342*$L342*$AO$12)</f>
        <v>0</v>
      </c>
      <c r="AP342" s="182">
        <v>240</v>
      </c>
      <c r="AQ342" s="183">
        <f>(AP342*$E342*$F342*$G342*$L342*$AQ$12)</f>
        <v>10365993.792000001</v>
      </c>
      <c r="AR342" s="182"/>
      <c r="AS342" s="182">
        <f t="shared" ref="AS342:AS346" si="1493">(AR342*$E342*$F342*$G342*$L342*$AS$12)/12*10+(AR342*$E342*$F342*$G342*$L342*$AS$13)/12*1+(AR342*$E342*$F342*$G342*$L342*$AS$14)/12*1</f>
        <v>0</v>
      </c>
      <c r="AT342" s="182"/>
      <c r="AU342" s="182">
        <f>(AT342*$E342*$F342*$G342*$M342*$AU$12)</f>
        <v>0</v>
      </c>
      <c r="AV342" s="188">
        <v>1</v>
      </c>
      <c r="AW342" s="182">
        <v>65965.42</v>
      </c>
      <c r="AX342" s="182">
        <v>1</v>
      </c>
      <c r="AY342" s="187">
        <f>(AX342*$E342*$F342*$G342*$M342*$AY$12)</f>
        <v>51829.968959999998</v>
      </c>
      <c r="AZ342" s="182"/>
      <c r="BA342" s="182">
        <f>(AZ342*$E342*$F342*$G342*$L342*$BA$12)</f>
        <v>0</v>
      </c>
      <c r="BB342" s="182">
        <v>0</v>
      </c>
      <c r="BC342" s="182">
        <f>(BB342*$E342*$F342*$G342*$L342*$BC$12)</f>
        <v>0</v>
      </c>
      <c r="BD342" s="182"/>
      <c r="BE342" s="182">
        <f>(BD342*$E342*$F342*$G342*$L342*$BE$12)</f>
        <v>0</v>
      </c>
      <c r="BF342" s="182"/>
      <c r="BG342" s="182">
        <f>(BF342*$E342*$F342*$G342*$L342*$BG$12)</f>
        <v>0</v>
      </c>
      <c r="BH342" s="182"/>
      <c r="BI342" s="183">
        <f>(BH342*$E342*$F342*$G342*$L342*$BI$12)</f>
        <v>0</v>
      </c>
      <c r="BJ342" s="182"/>
      <c r="BK342" s="183">
        <f>(BJ342*$E342*$F342*$G342*$L342*$BK$12)</f>
        <v>0</v>
      </c>
      <c r="BL342" s="182">
        <v>2</v>
      </c>
      <c r="BM342" s="182">
        <f t="shared" ref="BM342:BM343" si="1494">(BL342/12*11*$E342*$F342*$G342*$L342*$BM$12)+(BL342/12*$E342*$F342*$G342*$L342*$BM$12*$BM$15)</f>
        <v>109618.65668476798</v>
      </c>
      <c r="BN342" s="182">
        <v>150</v>
      </c>
      <c r="BO342" s="182">
        <f>(BN342*$E342*$F342*$G342*$M342*$BO$12)</f>
        <v>7774495.3440000005</v>
      </c>
      <c r="BP342" s="182"/>
      <c r="BQ342" s="182">
        <f>(BP342*$E342*$F342*$G342*$M342*$BQ$12)</f>
        <v>0</v>
      </c>
      <c r="BR342" s="182"/>
      <c r="BS342" s="183">
        <f>(BR342*$E342*$F342*$G342*$M342*$BS$12)</f>
        <v>0</v>
      </c>
      <c r="BT342" s="182"/>
      <c r="BU342" s="182">
        <f>(BT342*$E342*$F342*$G342*$M342*$BU$12)</f>
        <v>0</v>
      </c>
      <c r="BV342" s="182"/>
      <c r="BW342" s="182">
        <f>(BV342*$E342*$F342*$G342*$M342*$BW$12)</f>
        <v>0</v>
      </c>
      <c r="BX342" s="182">
        <v>5</v>
      </c>
      <c r="BY342" s="183">
        <f t="shared" ref="BY342:BY344" si="1495">(BX342*$E342*$F342*$G342*$M342*$BY$12)/12*11+(BX342*$E342*$F342*$G342*$M342*$BY$12*$BY$15)/12</f>
        <v>317736.55698623997</v>
      </c>
      <c r="BZ342" s="182">
        <v>15</v>
      </c>
      <c r="CA342" s="187">
        <f t="shared" ref="CA342:CA344" si="1496">(BZ342*$E342*$F342*$G342*$M342*$CA$12)/12*11+(BZ342*$E342*$F342*$G342*$M342*$CA$12*$CA$15)/12</f>
        <v>923698.39340519998</v>
      </c>
      <c r="CB342" s="182"/>
      <c r="CC342" s="182">
        <f>(CB342*$E342*$F342*$G342*$L342*$CC$12)</f>
        <v>0</v>
      </c>
      <c r="CD342" s="182"/>
      <c r="CE342" s="182">
        <f>(CD342*$E342*$F342*$G342*$L342*$CE$12)</f>
        <v>0</v>
      </c>
      <c r="CF342" s="182"/>
      <c r="CG342" s="182">
        <f>(CF342*$E342*$F342*$G342*$L342*$CG$12)</f>
        <v>0</v>
      </c>
      <c r="CH342" s="182">
        <v>1</v>
      </c>
      <c r="CI342" s="182">
        <f t="shared" ref="CI342" si="1497">(CH342*$E342*$F342*$G342*$M342*$CI$12)/12*11+(CH342*$E342*$F342*$G342*$M342*$CI$12*$CI$15)/12</f>
        <v>52510.119507215997</v>
      </c>
      <c r="CJ342" s="182"/>
      <c r="CK342" s="182"/>
      <c r="CL342" s="182"/>
      <c r="CM342" s="183">
        <f>(CL342*$E342*$F342*$G342*$L342*$CM$12)</f>
        <v>0</v>
      </c>
      <c r="CN342" s="182"/>
      <c r="CO342" s="183">
        <f>(CN342*$E342*$F342*$G342*$L342*$CO$12)</f>
        <v>0</v>
      </c>
      <c r="CP342" s="182"/>
      <c r="CQ342" s="182">
        <f>(CP342*$E342*$F342*$G342*$L342*$CQ$12)</f>
        <v>0</v>
      </c>
      <c r="CR342" s="182">
        <v>3</v>
      </c>
      <c r="CS342" s="182">
        <f t="shared" ref="CS342:CS343" si="1498">(CR342*$E342*$F342*$G342*$L342*$CS$12)/12*10+(CR342*$E342*$F342*$G342*$L342*$CS$13)/12+(CR342*$E342*$F342*$G342*$L342*$CS$13*$CS$15)/12</f>
        <v>141221.15569044001</v>
      </c>
      <c r="CT342" s="182"/>
      <c r="CU342" s="182">
        <f>(CT342*$E342*$F342*$G342*$L342*$CU$12)</f>
        <v>0</v>
      </c>
      <c r="CV342" s="182">
        <v>11</v>
      </c>
      <c r="CW342" s="182">
        <v>513587.84000000014</v>
      </c>
      <c r="CX342" s="182">
        <v>8</v>
      </c>
      <c r="CY342" s="182">
        <f t="shared" ref="CY342" si="1499">(CX342/12*11*$E342*$F342*$G342*$M342*$CY$12)+(CX342/12*$E342*$F342*$G342*$M342*$CY$15*$CY$12)</f>
        <v>406795.52146867197</v>
      </c>
      <c r="CZ342" s="182"/>
      <c r="DA342" s="182">
        <v>0</v>
      </c>
      <c r="DB342" s="188"/>
      <c r="DC342" s="182">
        <f>(DB342*$E342*$F342*$G342*$M342*$DC$12)</f>
        <v>0</v>
      </c>
      <c r="DD342" s="182"/>
      <c r="DE342" s="187"/>
      <c r="DF342" s="182"/>
      <c r="DG342" s="182">
        <f>(DF342*$E342*$F342*$G342*$M342*$DG$12)</f>
        <v>0</v>
      </c>
      <c r="DH342" s="189"/>
      <c r="DI342" s="182">
        <f>(DH342*$E342*$F342*$G342*$M342*$DI$12)</f>
        <v>0</v>
      </c>
      <c r="DJ342" s="182"/>
      <c r="DK342" s="182">
        <f>(DJ342*$E342*$F342*$G342*$M342*$DK$12)</f>
        <v>0</v>
      </c>
      <c r="DL342" s="182"/>
      <c r="DM342" s="182">
        <f>(DL342*$E342*$F342*$G342*$N342*$DM$12)</f>
        <v>0</v>
      </c>
      <c r="DN342" s="182"/>
      <c r="DO342" s="190">
        <f>(DN342*$E342*$F342*$G342*$O342*$DO$12)</f>
        <v>0</v>
      </c>
      <c r="DP342" s="187"/>
      <c r="DQ342" s="187"/>
      <c r="DR342" s="183">
        <f t="shared" si="1434"/>
        <v>758</v>
      </c>
      <c r="DS342" s="183">
        <f t="shared" si="1434"/>
        <v>35106269.155102536</v>
      </c>
      <c r="DT342" s="182">
        <v>757</v>
      </c>
      <c r="DU342" s="182">
        <v>34905128.152639993</v>
      </c>
      <c r="DV342" s="167">
        <f t="shared" si="1450"/>
        <v>1</v>
      </c>
      <c r="DW342" s="167">
        <f t="shared" si="1450"/>
        <v>201141.00246254355</v>
      </c>
    </row>
    <row r="343" spans="1:127" ht="30" customHeight="1" x14ac:dyDescent="0.25">
      <c r="A343" s="154"/>
      <c r="B343" s="176">
        <v>298</v>
      </c>
      <c r="C343" s="177" t="s">
        <v>760</v>
      </c>
      <c r="D343" s="210" t="s">
        <v>761</v>
      </c>
      <c r="E343" s="158">
        <v>25969</v>
      </c>
      <c r="F343" s="179">
        <v>1.1200000000000001</v>
      </c>
      <c r="G343" s="168">
        <v>1</v>
      </c>
      <c r="H343" s="169"/>
      <c r="I343" s="169"/>
      <c r="J343" s="169"/>
      <c r="K343" s="106"/>
      <c r="L343" s="180">
        <v>1.4</v>
      </c>
      <c r="M343" s="180">
        <v>1.68</v>
      </c>
      <c r="N343" s="180">
        <v>2.23</v>
      </c>
      <c r="O343" s="181">
        <v>2.57</v>
      </c>
      <c r="P343" s="182">
        <v>320</v>
      </c>
      <c r="Q343" s="182">
        <f>(P343*$E343*$F343*$G343*$L343*$Q$12)</f>
        <v>14333225.984000003</v>
      </c>
      <c r="R343" s="182"/>
      <c r="S343" s="182">
        <f>(R343*$E343*$F343*$G343*$L343*$S$12)</f>
        <v>0</v>
      </c>
      <c r="T343" s="182"/>
      <c r="U343" s="182">
        <f t="shared" si="1491"/>
        <v>0</v>
      </c>
      <c r="V343" s="182"/>
      <c r="W343" s="183">
        <f t="shared" si="1492"/>
        <v>0</v>
      </c>
      <c r="X343" s="183">
        <v>3</v>
      </c>
      <c r="Y343" s="183">
        <v>171021.44639999999</v>
      </c>
      <c r="Z343" s="183">
        <v>0</v>
      </c>
      <c r="AA343" s="183">
        <v>0</v>
      </c>
      <c r="AB343" s="182">
        <f t="shared" si="1438"/>
        <v>3</v>
      </c>
      <c r="AC343" s="182">
        <f t="shared" si="1438"/>
        <v>171021.44639999999</v>
      </c>
      <c r="AD343" s="182"/>
      <c r="AE343" s="182">
        <f>(AD343*$E343*$F343*$G343*$L343*$AE$12)</f>
        <v>0</v>
      </c>
      <c r="AF343" s="182"/>
      <c r="AG343" s="182"/>
      <c r="AH343" s="182">
        <v>25</v>
      </c>
      <c r="AI343" s="182">
        <f>(AH343*$E343*$F343*$G343*$L343*$AI$12)</f>
        <v>1119783.28</v>
      </c>
      <c r="AJ343" s="182"/>
      <c r="AK343" s="182"/>
      <c r="AL343" s="182"/>
      <c r="AM343" s="182"/>
      <c r="AN343" s="182"/>
      <c r="AO343" s="182">
        <f>(AN343*$E343*$F343*$G343*$L343*$AO$12)</f>
        <v>0</v>
      </c>
      <c r="AP343" s="182">
        <v>156</v>
      </c>
      <c r="AQ343" s="183">
        <f>(AP343*$E343*$F343*$G343*$L343*$AQ$12)</f>
        <v>6987447.667200001</v>
      </c>
      <c r="AR343" s="182"/>
      <c r="AS343" s="182">
        <f t="shared" si="1493"/>
        <v>0</v>
      </c>
      <c r="AT343" s="182"/>
      <c r="AU343" s="182">
        <f>(AT343*$E343*$F343*$G343*$M343*$AU$12)</f>
        <v>0</v>
      </c>
      <c r="AV343" s="188">
        <v>1</v>
      </c>
      <c r="AW343" s="182">
        <v>68408.58</v>
      </c>
      <c r="AX343" s="182">
        <v>3</v>
      </c>
      <c r="AY343" s="187">
        <f>(AX343*$E343*$F343*$G343*$M343*$AY$12)</f>
        <v>161248.79232000004</v>
      </c>
      <c r="AZ343" s="182"/>
      <c r="BA343" s="182">
        <f>(AZ343*$E343*$F343*$G343*$L343*$BA$12)</f>
        <v>0</v>
      </c>
      <c r="BB343" s="182">
        <v>0</v>
      </c>
      <c r="BC343" s="182">
        <f>(BB343*$E343*$F343*$G343*$L343*$BC$12)</f>
        <v>0</v>
      </c>
      <c r="BD343" s="182"/>
      <c r="BE343" s="182">
        <f>(BD343*$E343*$F343*$G343*$L343*$BE$12)</f>
        <v>0</v>
      </c>
      <c r="BF343" s="182"/>
      <c r="BG343" s="182">
        <f>(BF343*$E343*$F343*$G343*$L343*$BG$12)</f>
        <v>0</v>
      </c>
      <c r="BH343" s="182"/>
      <c r="BI343" s="183">
        <f>(BH343*$E343*$F343*$G343*$L343*$BI$12)</f>
        <v>0</v>
      </c>
      <c r="BJ343" s="182"/>
      <c r="BK343" s="183">
        <f>(BJ343*$E343*$F343*$G343*$L343*$BK$12)</f>
        <v>0</v>
      </c>
      <c r="BL343" s="182">
        <v>5</v>
      </c>
      <c r="BM343" s="182">
        <f t="shared" si="1494"/>
        <v>284196.51733088004</v>
      </c>
      <c r="BN343" s="182">
        <v>175</v>
      </c>
      <c r="BO343" s="182">
        <f>(BN343*$E343*$F343*$G343*$M343*$BO$12)</f>
        <v>9406179.5520000029</v>
      </c>
      <c r="BP343" s="182"/>
      <c r="BQ343" s="182">
        <f>(BP343*$E343*$F343*$G343*$M343*$BQ$12)</f>
        <v>0</v>
      </c>
      <c r="BR343" s="182"/>
      <c r="BS343" s="183">
        <f>(BR343*$E343*$F343*$G343*$M343*$BS$12)</f>
        <v>0</v>
      </c>
      <c r="BT343" s="182">
        <v>3</v>
      </c>
      <c r="BU343" s="182">
        <f t="shared" ref="BU343" si="1500">(BT343*$E343*$F343*$G343*$M343*$BU$12)/12*10+(BT343*$E343*$F343*$G343*$M343*$BU$13)/12+(BT343*$E343*$F343*$G343*$M343*$BU$13*$BU$15)/12</f>
        <v>163301.24512988163</v>
      </c>
      <c r="BV343" s="182"/>
      <c r="BW343" s="182">
        <f>(BV343*$E343*$F343*$G343*$M343*$BW$12)</f>
        <v>0</v>
      </c>
      <c r="BX343" s="182"/>
      <c r="BY343" s="183">
        <f t="shared" si="1495"/>
        <v>0</v>
      </c>
      <c r="BZ343" s="182">
        <v>4</v>
      </c>
      <c r="CA343" s="187">
        <f t="shared" si="1496"/>
        <v>255442.51867008</v>
      </c>
      <c r="CB343" s="182"/>
      <c r="CC343" s="182">
        <f>(CB343*$E343*$F343*$G343*$L343*$CC$12)</f>
        <v>0</v>
      </c>
      <c r="CD343" s="182"/>
      <c r="CE343" s="182">
        <f>(CD343*$E343*$F343*$G343*$L343*$CE$12)</f>
        <v>0</v>
      </c>
      <c r="CF343" s="182"/>
      <c r="CG343" s="182">
        <f>(CF343*$E343*$F343*$G343*$L343*$CG$12)</f>
        <v>0</v>
      </c>
      <c r="CH343" s="182"/>
      <c r="CI343" s="182">
        <f>(CH343*$E343*$F343*$G343*$M343*$CI$12)</f>
        <v>0</v>
      </c>
      <c r="CJ343" s="182"/>
      <c r="CK343" s="182"/>
      <c r="CL343" s="182"/>
      <c r="CM343" s="183">
        <f>(CL343*$E343*$F343*$G343*$L343*$CM$12)</f>
        <v>0</v>
      </c>
      <c r="CN343" s="182"/>
      <c r="CO343" s="183">
        <f>(CN343*$E343*$F343*$G343*$L343*$CO$12)</f>
        <v>0</v>
      </c>
      <c r="CP343" s="182"/>
      <c r="CQ343" s="182">
        <f>(CP343*$E343*$F343*$G343*$L343*$CQ$12)</f>
        <v>0</v>
      </c>
      <c r="CR343" s="182">
        <v>2</v>
      </c>
      <c r="CS343" s="182">
        <f t="shared" si="1498"/>
        <v>97634.379242773342</v>
      </c>
      <c r="CT343" s="182">
        <v>6</v>
      </c>
      <c r="CU343" s="182">
        <f t="shared" ref="CU343" si="1501">(CT343*$E343*$F343*$G343*$L343*$CU$12)/12*11+(CT343*$E343*$F343*$G343*$L343*$CU$12*$CU$15)/12</f>
        <v>256480.86316608</v>
      </c>
      <c r="CV343" s="182">
        <v>8</v>
      </c>
      <c r="CW343" s="182">
        <v>390906.16000000003</v>
      </c>
      <c r="CX343" s="182"/>
      <c r="CY343" s="182">
        <f>(CX343*$E343*$F343*$G343*$M343*$CY$12)</f>
        <v>0</v>
      </c>
      <c r="CZ343" s="182"/>
      <c r="DA343" s="182">
        <v>0</v>
      </c>
      <c r="DB343" s="188"/>
      <c r="DC343" s="182">
        <f>(DB343*$E343*$F343*$G343*$M343*$DC$12)</f>
        <v>0</v>
      </c>
      <c r="DD343" s="182"/>
      <c r="DE343" s="187"/>
      <c r="DF343" s="182"/>
      <c r="DG343" s="182">
        <f>(DF343*$E343*$F343*$G343*$M343*$DG$12)</f>
        <v>0</v>
      </c>
      <c r="DH343" s="189"/>
      <c r="DI343" s="182">
        <f>(DH343*$E343*$F343*$G343*$M343*$DI$12)</f>
        <v>0</v>
      </c>
      <c r="DJ343" s="182"/>
      <c r="DK343" s="182">
        <f>(DJ343*$E343*$F343*$G343*$M343*$DK$12)</f>
        <v>0</v>
      </c>
      <c r="DL343" s="182"/>
      <c r="DM343" s="182">
        <f>(DL343*$E343*$F343*$G343*$N343*$DM$12)</f>
        <v>0</v>
      </c>
      <c r="DN343" s="182"/>
      <c r="DO343" s="190">
        <f>(DN343*$E343*$F343*$G343*$O343*$DO$12)</f>
        <v>0</v>
      </c>
      <c r="DP343" s="187"/>
      <c r="DQ343" s="187"/>
      <c r="DR343" s="183">
        <f t="shared" si="1434"/>
        <v>711</v>
      </c>
      <c r="DS343" s="183">
        <f t="shared" si="1434"/>
        <v>33695276.9854597</v>
      </c>
      <c r="DT343" s="182">
        <v>712</v>
      </c>
      <c r="DU343" s="182">
        <v>33665435.989333339</v>
      </c>
      <c r="DV343" s="167">
        <f t="shared" si="1450"/>
        <v>-1</v>
      </c>
      <c r="DW343" s="167">
        <f t="shared" si="1450"/>
        <v>29840.996126361191</v>
      </c>
    </row>
    <row r="344" spans="1:127" ht="30" customHeight="1" x14ac:dyDescent="0.25">
      <c r="A344" s="154"/>
      <c r="B344" s="176">
        <v>299</v>
      </c>
      <c r="C344" s="177" t="s">
        <v>762</v>
      </c>
      <c r="D344" s="210" t="s">
        <v>763</v>
      </c>
      <c r="E344" s="158">
        <v>25969</v>
      </c>
      <c r="F344" s="179">
        <v>1.62</v>
      </c>
      <c r="G344" s="168">
        <v>1</v>
      </c>
      <c r="H344" s="242"/>
      <c r="I344" s="242"/>
      <c r="J344" s="242"/>
      <c r="K344" s="106"/>
      <c r="L344" s="180">
        <v>1.4</v>
      </c>
      <c r="M344" s="180">
        <v>1.68</v>
      </c>
      <c r="N344" s="180">
        <v>2.23</v>
      </c>
      <c r="O344" s="181">
        <v>2.57</v>
      </c>
      <c r="P344" s="182">
        <v>192</v>
      </c>
      <c r="Q344" s="182">
        <f>(P344*$E344*$F344*$G344*$L344*$Q$12)</f>
        <v>12439192.550400002</v>
      </c>
      <c r="R344" s="182"/>
      <c r="S344" s="182">
        <f>(R344*$E344*$F344*$G344*$L344*$S$12)</f>
        <v>0</v>
      </c>
      <c r="T344" s="182"/>
      <c r="U344" s="182">
        <f t="shared" si="1491"/>
        <v>0</v>
      </c>
      <c r="V344" s="182"/>
      <c r="W344" s="183">
        <f t="shared" si="1492"/>
        <v>0</v>
      </c>
      <c r="X344" s="183">
        <v>9</v>
      </c>
      <c r="Y344" s="183">
        <v>742110.9192</v>
      </c>
      <c r="Z344" s="183">
        <v>0</v>
      </c>
      <c r="AA344" s="183">
        <v>0</v>
      </c>
      <c r="AB344" s="182">
        <f t="shared" si="1438"/>
        <v>9</v>
      </c>
      <c r="AC344" s="182">
        <f t="shared" si="1438"/>
        <v>742110.9192</v>
      </c>
      <c r="AD344" s="182"/>
      <c r="AE344" s="182">
        <f>(AD344*$E344*$F344*$G344*$L344*$AE$12)</f>
        <v>0</v>
      </c>
      <c r="AF344" s="182"/>
      <c r="AG344" s="182"/>
      <c r="AH344" s="182">
        <v>8</v>
      </c>
      <c r="AI344" s="182">
        <f>(AH344*$E344*$F344*$G344*$L344*$AI$12)</f>
        <v>518299.68960000004</v>
      </c>
      <c r="AJ344" s="182"/>
      <c r="AK344" s="182"/>
      <c r="AL344" s="182"/>
      <c r="AM344" s="182"/>
      <c r="AN344" s="182"/>
      <c r="AO344" s="182">
        <f>(AN344*$E344*$F344*$G344*$L344*$AO$12)</f>
        <v>0</v>
      </c>
      <c r="AP344" s="182">
        <v>35</v>
      </c>
      <c r="AQ344" s="183">
        <f>(AP344*$E344*$F344*$G344*$L344*$AQ$12)</f>
        <v>2267561.142</v>
      </c>
      <c r="AR344" s="182"/>
      <c r="AS344" s="182">
        <f t="shared" si="1493"/>
        <v>0</v>
      </c>
      <c r="AT344" s="182"/>
      <c r="AU344" s="182">
        <f>(AT344*$E344*$F344*$G344*$M344*$AU$12)</f>
        <v>0</v>
      </c>
      <c r="AV344" s="188">
        <v>1</v>
      </c>
      <c r="AW344" s="182">
        <v>98948.12</v>
      </c>
      <c r="AX344" s="182"/>
      <c r="AY344" s="187">
        <f>(AX344*$E344*$F344*$G344*$M344*$AY$12)</f>
        <v>0</v>
      </c>
      <c r="AZ344" s="182"/>
      <c r="BA344" s="182">
        <f>(AZ344*$E344*$F344*$G344*$L344*$BA$12)</f>
        <v>0</v>
      </c>
      <c r="BB344" s="182"/>
      <c r="BC344" s="182">
        <f>(BB344*$E344*$F344*$G344*$L344*$BC$12)</f>
        <v>0</v>
      </c>
      <c r="BD344" s="182"/>
      <c r="BE344" s="182">
        <f>(BD344*$E344*$F344*$G344*$L344*$BE$12)</f>
        <v>0</v>
      </c>
      <c r="BF344" s="182"/>
      <c r="BG344" s="182">
        <f>(BF344*$E344*$F344*$G344*$L344*$BG$12)</f>
        <v>0</v>
      </c>
      <c r="BH344" s="182"/>
      <c r="BI344" s="183">
        <f>(BH344*$E344*$F344*$G344*$L344*$BI$12)</f>
        <v>0</v>
      </c>
      <c r="BJ344" s="182"/>
      <c r="BK344" s="183">
        <f>(BJ344*$E344*$F344*$G344*$L344*$BK$12)</f>
        <v>0</v>
      </c>
      <c r="BL344" s="182"/>
      <c r="BM344" s="182">
        <f>(BL344*$E344*$F344*$G344*$L344*$BM$12)</f>
        <v>0</v>
      </c>
      <c r="BN344" s="182">
        <v>82</v>
      </c>
      <c r="BO344" s="182">
        <f>(BN344*$E344*$F344*$G344*$M344*$BO$12)</f>
        <v>6375086.1820800006</v>
      </c>
      <c r="BP344" s="182"/>
      <c r="BQ344" s="182">
        <f>(BP344*$E344*$F344*$G344*$M344*$BQ$12)</f>
        <v>0</v>
      </c>
      <c r="BR344" s="182"/>
      <c r="BS344" s="183">
        <f>(BR344*$E344*$F344*$G344*$M344*$BS$12)</f>
        <v>0</v>
      </c>
      <c r="BT344" s="182"/>
      <c r="BU344" s="182">
        <f>(BT344*$E344*$F344*$G344*$M344*$BU$12)</f>
        <v>0</v>
      </c>
      <c r="BV344" s="182"/>
      <c r="BW344" s="182">
        <f>(BV344*$E344*$F344*$G344*$M344*$BW$12)</f>
        <v>0</v>
      </c>
      <c r="BX344" s="182">
        <v>2</v>
      </c>
      <c r="BY344" s="183">
        <f t="shared" si="1495"/>
        <v>190641.93419174402</v>
      </c>
      <c r="BZ344" s="182">
        <v>1</v>
      </c>
      <c r="CA344" s="187">
        <f t="shared" si="1496"/>
        <v>92369.839340520004</v>
      </c>
      <c r="CB344" s="182"/>
      <c r="CC344" s="182">
        <f>(CB344*$E344*$F344*$G344*$L344*$CC$12)</f>
        <v>0</v>
      </c>
      <c r="CD344" s="182"/>
      <c r="CE344" s="182">
        <f>(CD344*$E344*$F344*$G344*$L344*$CE$12)</f>
        <v>0</v>
      </c>
      <c r="CF344" s="182"/>
      <c r="CG344" s="182">
        <f>(CF344*$E344*$F344*$G344*$L344*$CG$12)</f>
        <v>0</v>
      </c>
      <c r="CH344" s="182"/>
      <c r="CI344" s="182">
        <f>(CH344*$E344*$F344*$G344*$M344*$CI$12)</f>
        <v>0</v>
      </c>
      <c r="CJ344" s="182"/>
      <c r="CK344" s="182"/>
      <c r="CL344" s="182"/>
      <c r="CM344" s="183">
        <f>(CL344*$E344*$F344*$G344*$L344*$CM$12)</f>
        <v>0</v>
      </c>
      <c r="CN344" s="182"/>
      <c r="CO344" s="183">
        <f>(CN344*$E344*$F344*$G344*$L344*$CO$12)</f>
        <v>0</v>
      </c>
      <c r="CP344" s="182"/>
      <c r="CQ344" s="182">
        <f>(CP344*$E344*$F344*$G344*$L344*$CQ$12)</f>
        <v>0</v>
      </c>
      <c r="CR344" s="182"/>
      <c r="CS344" s="182">
        <f>(CR344*$E344*$F344*$G344*$L344*$CS$12)</f>
        <v>0</v>
      </c>
      <c r="CT344" s="182"/>
      <c r="CU344" s="182">
        <f>(CT344*$E344*$F344*$G344*$L344*$CU$12)</f>
        <v>0</v>
      </c>
      <c r="CV344" s="182">
        <v>2</v>
      </c>
      <c r="CW344" s="182">
        <v>141354.46</v>
      </c>
      <c r="CX344" s="182"/>
      <c r="CY344" s="182">
        <f>(CX344*$E344*$F344*$G344*$M344*$CY$12)</f>
        <v>0</v>
      </c>
      <c r="CZ344" s="182"/>
      <c r="DA344" s="182">
        <v>0</v>
      </c>
      <c r="DB344" s="188"/>
      <c r="DC344" s="182">
        <f>(DB344*$E344*$F344*$G344*$M344*$DC$12)</f>
        <v>0</v>
      </c>
      <c r="DD344" s="182"/>
      <c r="DE344" s="187"/>
      <c r="DF344" s="182"/>
      <c r="DG344" s="182">
        <f>(DF344*$E344*$F344*$G344*$M344*$DG$12)</f>
        <v>0</v>
      </c>
      <c r="DH344" s="189"/>
      <c r="DI344" s="182">
        <f>(DH344*$E344*$F344*$G344*$M344*$DI$12)</f>
        <v>0</v>
      </c>
      <c r="DJ344" s="182"/>
      <c r="DK344" s="182">
        <f>(DJ344*$E344*$F344*$G344*$M344*$DK$12)</f>
        <v>0</v>
      </c>
      <c r="DL344" s="182"/>
      <c r="DM344" s="182">
        <f>(DL344*$E344*$F344*$G344*$N344*$DM$12)</f>
        <v>0</v>
      </c>
      <c r="DN344" s="182"/>
      <c r="DO344" s="190">
        <f>(DN344*$E344*$F344*$G344*$O344*$DO$12)</f>
        <v>0</v>
      </c>
      <c r="DP344" s="187"/>
      <c r="DQ344" s="187"/>
      <c r="DR344" s="183">
        <f t="shared" si="1434"/>
        <v>332</v>
      </c>
      <c r="DS344" s="183">
        <f t="shared" si="1434"/>
        <v>22865564.836812265</v>
      </c>
      <c r="DT344" s="182">
        <v>333</v>
      </c>
      <c r="DU344" s="182">
        <v>22935939.217840005</v>
      </c>
      <c r="DV344" s="167">
        <f t="shared" si="1450"/>
        <v>-1</v>
      </c>
      <c r="DW344" s="167">
        <f t="shared" si="1450"/>
        <v>-70374.381027739495</v>
      </c>
    </row>
    <row r="345" spans="1:127" ht="30" customHeight="1" x14ac:dyDescent="0.25">
      <c r="A345" s="154"/>
      <c r="B345" s="176">
        <v>300</v>
      </c>
      <c r="C345" s="177" t="s">
        <v>764</v>
      </c>
      <c r="D345" s="210" t="s">
        <v>765</v>
      </c>
      <c r="E345" s="158">
        <v>25969</v>
      </c>
      <c r="F345" s="179">
        <v>1.95</v>
      </c>
      <c r="G345" s="168">
        <v>1</v>
      </c>
      <c r="H345" s="169"/>
      <c r="I345" s="169"/>
      <c r="J345" s="169"/>
      <c r="K345" s="106"/>
      <c r="L345" s="180">
        <v>1.4</v>
      </c>
      <c r="M345" s="180">
        <v>1.68</v>
      </c>
      <c r="N345" s="180">
        <v>2.23</v>
      </c>
      <c r="O345" s="181">
        <v>2.57</v>
      </c>
      <c r="P345" s="182">
        <v>45</v>
      </c>
      <c r="Q345" s="182">
        <f>(P345*$E345*$F345*$G345*$L345*$Q$12)</f>
        <v>3509320.8150000004</v>
      </c>
      <c r="R345" s="182"/>
      <c r="S345" s="182">
        <f>(R345*$E345*$F345*$G345*$L345*$S$12)</f>
        <v>0</v>
      </c>
      <c r="T345" s="182"/>
      <c r="U345" s="182">
        <f t="shared" si="1491"/>
        <v>0</v>
      </c>
      <c r="V345" s="182"/>
      <c r="W345" s="183">
        <f t="shared" si="1492"/>
        <v>0</v>
      </c>
      <c r="X345" s="183">
        <v>7</v>
      </c>
      <c r="Y345" s="183">
        <v>694774.62599999981</v>
      </c>
      <c r="Z345" s="183">
        <v>0</v>
      </c>
      <c r="AA345" s="183">
        <v>0</v>
      </c>
      <c r="AB345" s="182">
        <f t="shared" si="1438"/>
        <v>7</v>
      </c>
      <c r="AC345" s="182">
        <f t="shared" si="1438"/>
        <v>694774.62599999981</v>
      </c>
      <c r="AD345" s="182"/>
      <c r="AE345" s="182">
        <f>(AD345*$E345*$F345*$G345*$L345*$AE$12)</f>
        <v>0</v>
      </c>
      <c r="AF345" s="182"/>
      <c r="AG345" s="182"/>
      <c r="AH345" s="182">
        <v>5</v>
      </c>
      <c r="AI345" s="182">
        <f>(AH345*$E345*$F345*$G345*$L345*$AI$12)</f>
        <v>389924.53500000003</v>
      </c>
      <c r="AJ345" s="182"/>
      <c r="AK345" s="182"/>
      <c r="AL345" s="182"/>
      <c r="AM345" s="182"/>
      <c r="AN345" s="182"/>
      <c r="AO345" s="182">
        <f>(AN345*$E345*$F345*$G345*$L345*$AO$12)</f>
        <v>0</v>
      </c>
      <c r="AP345" s="182">
        <v>21</v>
      </c>
      <c r="AQ345" s="183">
        <f>(AP345*$E345*$F345*$G345*$L345*$AQ$12)</f>
        <v>1637683.0470000003</v>
      </c>
      <c r="AR345" s="182"/>
      <c r="AS345" s="182">
        <f t="shared" si="1493"/>
        <v>0</v>
      </c>
      <c r="AT345" s="182"/>
      <c r="AU345" s="182">
        <f>(AT345*$E345*$F345*$G345*$M345*$AU$12)</f>
        <v>0</v>
      </c>
      <c r="AV345" s="186">
        <v>0</v>
      </c>
      <c r="AW345" s="182">
        <v>0</v>
      </c>
      <c r="AX345" s="182"/>
      <c r="AY345" s="187">
        <f>(AX345*$E345*$F345*$G345*$M345*$AY$12)</f>
        <v>0</v>
      </c>
      <c r="AZ345" s="182"/>
      <c r="BA345" s="182">
        <f>(AZ345*$E345*$F345*$G345*$L345*$BA$12)</f>
        <v>0</v>
      </c>
      <c r="BB345" s="182"/>
      <c r="BC345" s="182">
        <f>(BB345*$E345*$F345*$G345*$L345*$BC$12)</f>
        <v>0</v>
      </c>
      <c r="BD345" s="182"/>
      <c r="BE345" s="182">
        <f>(BD345*$E345*$F345*$G345*$L345*$BE$12)</f>
        <v>0</v>
      </c>
      <c r="BF345" s="182"/>
      <c r="BG345" s="182">
        <f>(BF345*$E345*$F345*$G345*$L345*$BG$12)</f>
        <v>0</v>
      </c>
      <c r="BH345" s="182"/>
      <c r="BI345" s="183">
        <f>(BH345*$E345*$F345*$G345*$L345*$BI$12)</f>
        <v>0</v>
      </c>
      <c r="BJ345" s="182"/>
      <c r="BK345" s="183">
        <f>(BJ345*$E345*$F345*$G345*$L345*$BK$12)</f>
        <v>0</v>
      </c>
      <c r="BL345" s="182"/>
      <c r="BM345" s="182">
        <f>(BL345*$E345*$F345*$G345*$L345*$BM$12)</f>
        <v>0</v>
      </c>
      <c r="BN345" s="182">
        <v>36</v>
      </c>
      <c r="BO345" s="182">
        <f>(BN345*$E345*$F345*$G345*$M345*$BO$12)</f>
        <v>3368947.9824000006</v>
      </c>
      <c r="BP345" s="182"/>
      <c r="BQ345" s="182">
        <f>(BP345*$E345*$F345*$G345*$M345*$BQ$12)</f>
        <v>0</v>
      </c>
      <c r="BR345" s="182"/>
      <c r="BS345" s="183">
        <f>(BR345*$E345*$F345*$G345*$M345*$BS$12)</f>
        <v>0</v>
      </c>
      <c r="BT345" s="182"/>
      <c r="BU345" s="182">
        <f>(BT345*$E345*$F345*$G345*$M345*$BU$12)</f>
        <v>0</v>
      </c>
      <c r="BV345" s="182"/>
      <c r="BW345" s="182">
        <f>(BV345*$E345*$F345*$G345*$M345*$BW$12)</f>
        <v>0</v>
      </c>
      <c r="BX345" s="182"/>
      <c r="BY345" s="183">
        <f>(BX345*$E345*$F345*$G345*$M345*$BY$12)</f>
        <v>0</v>
      </c>
      <c r="BZ345" s="182"/>
      <c r="CA345" s="187">
        <f>(BZ345*$E345*$F345*$G345*$M345*$CA$12)</f>
        <v>0</v>
      </c>
      <c r="CB345" s="182"/>
      <c r="CC345" s="182">
        <f>(CB345*$E345*$F345*$G345*$L345*$CC$12)</f>
        <v>0</v>
      </c>
      <c r="CD345" s="182"/>
      <c r="CE345" s="182">
        <f>(CD345*$E345*$F345*$G345*$L345*$CE$12)</f>
        <v>0</v>
      </c>
      <c r="CF345" s="182"/>
      <c r="CG345" s="182">
        <f>(CF345*$E345*$F345*$G345*$L345*$CG$12)</f>
        <v>0</v>
      </c>
      <c r="CH345" s="182"/>
      <c r="CI345" s="182">
        <f>(CH345*$E345*$F345*$G345*$M345*$CI$12)</f>
        <v>0</v>
      </c>
      <c r="CJ345" s="182"/>
      <c r="CK345" s="182"/>
      <c r="CL345" s="182"/>
      <c r="CM345" s="183">
        <f>(CL345*$E345*$F345*$G345*$L345*$CM$12)</f>
        <v>0</v>
      </c>
      <c r="CN345" s="182"/>
      <c r="CO345" s="183">
        <f>(CN345*$E345*$F345*$G345*$L345*$CO$12)</f>
        <v>0</v>
      </c>
      <c r="CP345" s="182"/>
      <c r="CQ345" s="182">
        <f>(CP345*$E345*$F345*$G345*$L345*$CQ$12)</f>
        <v>0</v>
      </c>
      <c r="CR345" s="182"/>
      <c r="CS345" s="182">
        <f>(CR345*$E345*$F345*$G345*$L345*$CS$12)</f>
        <v>0</v>
      </c>
      <c r="CT345" s="182"/>
      <c r="CU345" s="182">
        <f>(CT345*$E345*$F345*$G345*$L345*$CU$12)</f>
        <v>0</v>
      </c>
      <c r="CV345" s="182"/>
      <c r="CW345" s="182">
        <v>0</v>
      </c>
      <c r="CX345" s="182"/>
      <c r="CY345" s="182">
        <f>(CX345*$E345*$F345*$G345*$M345*$CY$12)</f>
        <v>0</v>
      </c>
      <c r="CZ345" s="182"/>
      <c r="DA345" s="182">
        <v>0</v>
      </c>
      <c r="DB345" s="188"/>
      <c r="DC345" s="182">
        <f>(DB345*$E345*$F345*$G345*$M345*$DC$12)</f>
        <v>0</v>
      </c>
      <c r="DD345" s="182"/>
      <c r="DE345" s="187"/>
      <c r="DF345" s="182"/>
      <c r="DG345" s="182">
        <f>(DF345*$E345*$F345*$G345*$M345*$DG$12)</f>
        <v>0</v>
      </c>
      <c r="DH345" s="189"/>
      <c r="DI345" s="182">
        <f>(DH345*$E345*$F345*$G345*$M345*$DI$12)</f>
        <v>0</v>
      </c>
      <c r="DJ345" s="182"/>
      <c r="DK345" s="182">
        <f>(DJ345*$E345*$F345*$G345*$M345*$DK$12)</f>
        <v>0</v>
      </c>
      <c r="DL345" s="182"/>
      <c r="DM345" s="182">
        <f>(DL345*$E345*$F345*$G345*$N345*$DM$12)</f>
        <v>0</v>
      </c>
      <c r="DN345" s="182"/>
      <c r="DO345" s="190">
        <f>(DN345*$E345*$F345*$G345*$O345*$DO$12)</f>
        <v>0</v>
      </c>
      <c r="DP345" s="187"/>
      <c r="DQ345" s="187"/>
      <c r="DR345" s="183">
        <f t="shared" si="1434"/>
        <v>114</v>
      </c>
      <c r="DS345" s="183">
        <f t="shared" si="1434"/>
        <v>9600651.005400002</v>
      </c>
      <c r="DT345" s="182">
        <v>114</v>
      </c>
      <c r="DU345" s="182">
        <v>9600651.005400002</v>
      </c>
      <c r="DV345" s="167">
        <f t="shared" si="1450"/>
        <v>0</v>
      </c>
      <c r="DW345" s="167">
        <f t="shared" si="1450"/>
        <v>0</v>
      </c>
    </row>
    <row r="346" spans="1:127" ht="30" customHeight="1" x14ac:dyDescent="0.25">
      <c r="A346" s="154"/>
      <c r="B346" s="176">
        <v>301</v>
      </c>
      <c r="C346" s="177" t="s">
        <v>766</v>
      </c>
      <c r="D346" s="210" t="s">
        <v>767</v>
      </c>
      <c r="E346" s="158">
        <v>25969</v>
      </c>
      <c r="F346" s="179">
        <v>2.14</v>
      </c>
      <c r="G346" s="243">
        <v>0.9</v>
      </c>
      <c r="H346" s="242"/>
      <c r="I346" s="242"/>
      <c r="J346" s="242"/>
      <c r="K346" s="106"/>
      <c r="L346" s="180">
        <v>1.4</v>
      </c>
      <c r="M346" s="180">
        <v>1.68</v>
      </c>
      <c r="N346" s="180">
        <v>2.23</v>
      </c>
      <c r="O346" s="181">
        <v>2.57</v>
      </c>
      <c r="P346" s="182">
        <v>445</v>
      </c>
      <c r="Q346" s="182">
        <f>(P346*$E346*$F346*$G346*$L346*$Q$12)</f>
        <v>34276166.278200001</v>
      </c>
      <c r="R346" s="182"/>
      <c r="S346" s="182">
        <f>(R346*$E346*$F346*$G346*$L346*$S$12)</f>
        <v>0</v>
      </c>
      <c r="T346" s="182"/>
      <c r="U346" s="182">
        <f t="shared" si="1491"/>
        <v>0</v>
      </c>
      <c r="V346" s="182"/>
      <c r="W346" s="183">
        <f t="shared" si="1492"/>
        <v>0</v>
      </c>
      <c r="X346" s="183">
        <v>8</v>
      </c>
      <c r="Y346" s="183">
        <v>784255.48991999996</v>
      </c>
      <c r="Z346" s="183">
        <v>0</v>
      </c>
      <c r="AA346" s="183">
        <v>0</v>
      </c>
      <c r="AB346" s="182">
        <f t="shared" si="1438"/>
        <v>8</v>
      </c>
      <c r="AC346" s="182">
        <f t="shared" si="1438"/>
        <v>784255.48991999996</v>
      </c>
      <c r="AD346" s="182"/>
      <c r="AE346" s="182">
        <f>(AD346*$E346*$F346*$G346*$L346*$AE$12)</f>
        <v>0</v>
      </c>
      <c r="AF346" s="182"/>
      <c r="AG346" s="182"/>
      <c r="AH346" s="182">
        <v>25</v>
      </c>
      <c r="AI346" s="182">
        <f>(AH346*$E346*$F346*$G346*$L346*$AI$12)</f>
        <v>1925627.3190000001</v>
      </c>
      <c r="AJ346" s="182"/>
      <c r="AK346" s="182"/>
      <c r="AL346" s="182"/>
      <c r="AM346" s="182"/>
      <c r="AN346" s="184"/>
      <c r="AO346" s="182">
        <f>(AN346*$E346*$F346*$G346*$L346*$AO$12)</f>
        <v>0</v>
      </c>
      <c r="AP346" s="182">
        <v>81</v>
      </c>
      <c r="AQ346" s="183">
        <f>(AP346*$E346*$F346*$G346*$L346*$AQ$12)</f>
        <v>6239032.5135600008</v>
      </c>
      <c r="AR346" s="182"/>
      <c r="AS346" s="182">
        <f t="shared" si="1493"/>
        <v>0</v>
      </c>
      <c r="AT346" s="182"/>
      <c r="AU346" s="182">
        <f>(AT346*$E346*$F346*$G346*$M346*$AU$12)</f>
        <v>0</v>
      </c>
      <c r="AV346" s="188">
        <v>3</v>
      </c>
      <c r="AW346" s="182">
        <v>352914.96</v>
      </c>
      <c r="AX346" s="182"/>
      <c r="AY346" s="187">
        <f>(AX346*$E346*$F346*$G346*$M346*$AY$12)</f>
        <v>0</v>
      </c>
      <c r="AZ346" s="182"/>
      <c r="BA346" s="182">
        <f>(AZ346*$E346*$F346*$G346*$L346*$BA$12)</f>
        <v>0</v>
      </c>
      <c r="BB346" s="182">
        <v>0</v>
      </c>
      <c r="BC346" s="182">
        <f>(BB346*$E346*$F346*$G346*$L346*$BC$12)</f>
        <v>0</v>
      </c>
      <c r="BD346" s="182"/>
      <c r="BE346" s="182">
        <f>(BD346*$E346*$F346*$G346*$L346*$BE$12)</f>
        <v>0</v>
      </c>
      <c r="BF346" s="182"/>
      <c r="BG346" s="182">
        <f>(BF346*$E346*$F346*$G346*$L346*$BG$12)</f>
        <v>0</v>
      </c>
      <c r="BH346" s="182"/>
      <c r="BI346" s="183">
        <f>(BH346*$E346*$F346*$G346*$L346*$BI$12)</f>
        <v>0</v>
      </c>
      <c r="BJ346" s="182"/>
      <c r="BK346" s="183">
        <f>(BJ346*$E346*$F346*$G346*$L346*$BK$12)</f>
        <v>0</v>
      </c>
      <c r="BL346" s="182"/>
      <c r="BM346" s="182">
        <f>(BL346*$E346*$F346*$G346*$L346*$BM$12)</f>
        <v>0</v>
      </c>
      <c r="BN346" s="182">
        <v>80</v>
      </c>
      <c r="BO346" s="182">
        <f>(BN346*$E346*$F346*$G346*$M346*$BO$12)</f>
        <v>7394408.90496</v>
      </c>
      <c r="BP346" s="182"/>
      <c r="BQ346" s="182">
        <f>(BP346*$E346*$F346*$G346*$M346*$BQ$12)</f>
        <v>0</v>
      </c>
      <c r="BR346" s="182"/>
      <c r="BS346" s="183">
        <f>(BR346*$E346*$F346*$G346*$M346*$BS$12)</f>
        <v>0</v>
      </c>
      <c r="BT346" s="182"/>
      <c r="BU346" s="182">
        <f>(BT346*$E346*$F346*$G346*$M346*$BU$12)</f>
        <v>0</v>
      </c>
      <c r="BV346" s="182"/>
      <c r="BW346" s="182">
        <f>(BV346*$E346*$F346*$G346*$M346*$BW$12)</f>
        <v>0</v>
      </c>
      <c r="BX346" s="182"/>
      <c r="BY346" s="183">
        <f>(BX346*$E346*$F346*$G346*$M346*$BY$12)</f>
        <v>0</v>
      </c>
      <c r="BZ346" s="182"/>
      <c r="CA346" s="187">
        <f>(BZ346*$E346*$F346*$G346*$M346*$CA$12)</f>
        <v>0</v>
      </c>
      <c r="CB346" s="182"/>
      <c r="CC346" s="182">
        <f>(CB346*$E346*$F346*$G346*$L346*$CC$12)</f>
        <v>0</v>
      </c>
      <c r="CD346" s="182"/>
      <c r="CE346" s="182">
        <f>(CD346*$E346*$F346*$G346*$L346*$CE$12)</f>
        <v>0</v>
      </c>
      <c r="CF346" s="182"/>
      <c r="CG346" s="182">
        <f>(CF346*$E346*$F346*$G346*$L346*$CG$12)</f>
        <v>0</v>
      </c>
      <c r="CH346" s="182"/>
      <c r="CI346" s="182">
        <f>(CH346*$E346*$F346*$G346*$M346*$CI$12)</f>
        <v>0</v>
      </c>
      <c r="CJ346" s="182"/>
      <c r="CK346" s="182"/>
      <c r="CL346" s="182"/>
      <c r="CM346" s="183">
        <f>(CL346*$E346*$F346*$G346*$L346*$CM$12)</f>
        <v>0</v>
      </c>
      <c r="CN346" s="182"/>
      <c r="CO346" s="183">
        <f>(CN346*$E346*$F346*$G346*$L346*$CO$12)</f>
        <v>0</v>
      </c>
      <c r="CP346" s="182"/>
      <c r="CQ346" s="182">
        <f>(CP346*$E346*$F346*$G346*$L346*$CQ$12)</f>
        <v>0</v>
      </c>
      <c r="CR346" s="182"/>
      <c r="CS346" s="182">
        <f>(CR346*$E346*$F346*$G346*$L346*$CS$12)</f>
        <v>0</v>
      </c>
      <c r="CT346" s="182"/>
      <c r="CU346" s="182">
        <f>(CT346*$E346*$F346*$G346*$L346*$CU$12)</f>
        <v>0</v>
      </c>
      <c r="CV346" s="182"/>
      <c r="CW346" s="182">
        <v>0</v>
      </c>
      <c r="CX346" s="182"/>
      <c r="CY346" s="182">
        <f>(CX346*$E346*$F346*$G346*$M346*$CY$12)</f>
        <v>0</v>
      </c>
      <c r="CZ346" s="182"/>
      <c r="DA346" s="182">
        <v>0</v>
      </c>
      <c r="DB346" s="188"/>
      <c r="DC346" s="182">
        <f>(DB346*$E346*$F346*$G346*$M346*$DC$12)</f>
        <v>0</v>
      </c>
      <c r="DD346" s="182"/>
      <c r="DE346" s="187"/>
      <c r="DF346" s="182"/>
      <c r="DG346" s="182">
        <f>(DF346*$E346*$F346*$G346*$M346*$DG$12)</f>
        <v>0</v>
      </c>
      <c r="DH346" s="189"/>
      <c r="DI346" s="182">
        <f>(DH346*$E346*$F346*$G346*$M346*$DI$12)</f>
        <v>0</v>
      </c>
      <c r="DJ346" s="182"/>
      <c r="DK346" s="182">
        <f>(DJ346*$E346*$F346*$G346*$M346*$DK$12)</f>
        <v>0</v>
      </c>
      <c r="DL346" s="182"/>
      <c r="DM346" s="182">
        <f>(DL346*$E346*$F346*$G346*$N346*$DM$12)</f>
        <v>0</v>
      </c>
      <c r="DN346" s="182"/>
      <c r="DO346" s="190">
        <f>(DN346*$E346*$F346*$G346*$O346*$DO$12)</f>
        <v>0</v>
      </c>
      <c r="DP346" s="187"/>
      <c r="DQ346" s="187"/>
      <c r="DR346" s="183">
        <f t="shared" si="1434"/>
        <v>642</v>
      </c>
      <c r="DS346" s="183">
        <f t="shared" si="1434"/>
        <v>50972405.465639994</v>
      </c>
      <c r="DT346" s="182">
        <v>641</v>
      </c>
      <c r="DU346" s="182">
        <v>50854767.152615994</v>
      </c>
      <c r="DV346" s="167">
        <f t="shared" si="1450"/>
        <v>1</v>
      </c>
      <c r="DW346" s="167">
        <f t="shared" si="1450"/>
        <v>117638.31302399933</v>
      </c>
    </row>
    <row r="347" spans="1:127" ht="30" customHeight="1" x14ac:dyDescent="0.25">
      <c r="A347" s="154"/>
      <c r="B347" s="176">
        <v>302</v>
      </c>
      <c r="C347" s="177" t="s">
        <v>768</v>
      </c>
      <c r="D347" s="210" t="s">
        <v>769</v>
      </c>
      <c r="E347" s="158">
        <v>25969</v>
      </c>
      <c r="F347" s="179">
        <v>4.13</v>
      </c>
      <c r="G347" s="168">
        <v>1</v>
      </c>
      <c r="H347" s="169"/>
      <c r="I347" s="169"/>
      <c r="J347" s="169"/>
      <c r="K347" s="106"/>
      <c r="L347" s="180">
        <v>1.4</v>
      </c>
      <c r="M347" s="180">
        <v>1.68</v>
      </c>
      <c r="N347" s="180">
        <v>2.23</v>
      </c>
      <c r="O347" s="181">
        <v>2.57</v>
      </c>
      <c r="P347" s="182">
        <v>16</v>
      </c>
      <c r="Q347" s="182">
        <f>(P347*$E347*$F347*$G347*$L347)</f>
        <v>2402444.128</v>
      </c>
      <c r="R347" s="182"/>
      <c r="S347" s="187">
        <f>(R347*$E347*$F347*$G347*$L347)</f>
        <v>0</v>
      </c>
      <c r="T347" s="182"/>
      <c r="U347" s="182">
        <f>(T347*$E347*$F347*$G347*$L347)</f>
        <v>0</v>
      </c>
      <c r="V347" s="182"/>
      <c r="W347" s="182">
        <f>(V347*$E347*$F347*$G347*$L347)</f>
        <v>0</v>
      </c>
      <c r="X347" s="182">
        <v>24</v>
      </c>
      <c r="Y347" s="182">
        <v>3603666.1919999993</v>
      </c>
      <c r="Z347" s="182">
        <v>0</v>
      </c>
      <c r="AA347" s="182">
        <v>0</v>
      </c>
      <c r="AB347" s="182">
        <f>X347+Z347</f>
        <v>24</v>
      </c>
      <c r="AC347" s="182">
        <f>Y347+AA347</f>
        <v>3603666.1919999993</v>
      </c>
      <c r="AD347" s="182"/>
      <c r="AE347" s="182">
        <f>(AD347*$E347*$F347*$G347*$L347)</f>
        <v>0</v>
      </c>
      <c r="AF347" s="182"/>
      <c r="AG347" s="182"/>
      <c r="AH347" s="182">
        <v>1</v>
      </c>
      <c r="AI347" s="182">
        <f>(AH347*$E347*$F347*$G347*$L347)</f>
        <v>150152.758</v>
      </c>
      <c r="AJ347" s="182"/>
      <c r="AK347" s="182"/>
      <c r="AL347" s="182"/>
      <c r="AM347" s="182"/>
      <c r="AN347" s="184"/>
      <c r="AO347" s="182">
        <f>(AN347*$E347*$F347*$G347*$L347)</f>
        <v>0</v>
      </c>
      <c r="AP347" s="182">
        <v>3</v>
      </c>
      <c r="AQ347" s="182">
        <f>(AP347*$E347*$F347*$G347*$L347)</f>
        <v>450458.27399999992</v>
      </c>
      <c r="AR347" s="182"/>
      <c r="AS347" s="182">
        <f>(AR347*$E347*$F347*$G347*$L347)</f>
        <v>0</v>
      </c>
      <c r="AT347" s="182"/>
      <c r="AU347" s="183">
        <f>(AT347*$E347*$F347*$G347*$M347)</f>
        <v>0</v>
      </c>
      <c r="AV347" s="188">
        <v>3</v>
      </c>
      <c r="AW347" s="182">
        <v>540549.92999999993</v>
      </c>
      <c r="AX347" s="182"/>
      <c r="AY347" s="187">
        <f>(AX347*$E347*$F347*$G347*$M347)</f>
        <v>0</v>
      </c>
      <c r="AZ347" s="182"/>
      <c r="BA347" s="182">
        <f>(AZ347*$E347*$F347*$G347*$L347*$AO$12)</f>
        <v>0</v>
      </c>
      <c r="BB347" s="182">
        <v>0</v>
      </c>
      <c r="BC347" s="182">
        <f>(BB347*$E347*$F347*$G347*$L347*BC$12)</f>
        <v>0</v>
      </c>
      <c r="BD347" s="182"/>
      <c r="BE347" s="182">
        <f>(BD347*$E347*$F347*$G347*$L347*BE$12)</f>
        <v>0</v>
      </c>
      <c r="BF347" s="182"/>
      <c r="BG347" s="182">
        <f>(BF347*$E347*$F347*$G347*$L347)</f>
        <v>0</v>
      </c>
      <c r="BH347" s="182"/>
      <c r="BI347" s="182">
        <f t="shared" ref="BI347" si="1502">(BH347*$E347*$F347*$G347*$L347)</f>
        <v>0</v>
      </c>
      <c r="BJ347" s="182"/>
      <c r="BK347" s="182"/>
      <c r="BL347" s="182"/>
      <c r="BM347" s="182">
        <f>(BL347*$E347*$F347*$G347*$L347)</f>
        <v>0</v>
      </c>
      <c r="BN347" s="182"/>
      <c r="BO347" s="182">
        <f>(BN347*$E347*$F347*$G347*$M347)</f>
        <v>0</v>
      </c>
      <c r="BP347" s="182"/>
      <c r="BQ347" s="182">
        <f>(BP347*$E347*$F347*$G347*$M347)</f>
        <v>0</v>
      </c>
      <c r="BR347" s="182"/>
      <c r="BS347" s="182">
        <f>(BR347*$E347*$F347*$G347*$M347)</f>
        <v>0</v>
      </c>
      <c r="BT347" s="182"/>
      <c r="BU347" s="182">
        <f>(BT347*$E347*$F347*$G347*$M347)</f>
        <v>0</v>
      </c>
      <c r="BV347" s="182"/>
      <c r="BW347" s="182">
        <f>(BV347*$E347*$F347*$G347*$M347)</f>
        <v>0</v>
      </c>
      <c r="BX347" s="182"/>
      <c r="BY347" s="182">
        <f>(BX347*$E347*$F347*$G347*$M347)</f>
        <v>0</v>
      </c>
      <c r="BZ347" s="182"/>
      <c r="CA347" s="187">
        <f>(BZ347*$E347*$F347*$G347*$M347)</f>
        <v>0</v>
      </c>
      <c r="CB347" s="182"/>
      <c r="CC347" s="182">
        <f>(CB347*$E347*$F347*$G347*$L347)</f>
        <v>0</v>
      </c>
      <c r="CD347" s="182"/>
      <c r="CE347" s="183">
        <f>(CD347*$E347*$F347*$G347*$L347)</f>
        <v>0</v>
      </c>
      <c r="CF347" s="182"/>
      <c r="CG347" s="182">
        <f>(CF347*$E347*$F347*$G347*$L347)</f>
        <v>0</v>
      </c>
      <c r="CH347" s="182"/>
      <c r="CI347" s="182">
        <f>(CH347*$E347*$F347*$G347*$M347)</f>
        <v>0</v>
      </c>
      <c r="CJ347" s="182"/>
      <c r="CK347" s="182"/>
      <c r="CL347" s="182"/>
      <c r="CM347" s="182">
        <f>(CL347*$E347*$F347*$G347*$L347)</f>
        <v>0</v>
      </c>
      <c r="CN347" s="182"/>
      <c r="CO347" s="182">
        <f>(CN347*$E347*$F347*$G347*$L347)</f>
        <v>0</v>
      </c>
      <c r="CP347" s="182"/>
      <c r="CQ347" s="182">
        <f>(CP347*$E347*$F347*$G347*$L347)</f>
        <v>0</v>
      </c>
      <c r="CR347" s="182"/>
      <c r="CS347" s="182">
        <f>(CR347*$E347*$F347*$G347*$L347)</f>
        <v>0</v>
      </c>
      <c r="CT347" s="182"/>
      <c r="CU347" s="182">
        <f>(CT347*$E347*$F347*$G347*$L347)</f>
        <v>0</v>
      </c>
      <c r="CV347" s="182"/>
      <c r="CW347" s="182">
        <v>0</v>
      </c>
      <c r="CX347" s="182"/>
      <c r="CY347" s="182">
        <f>(CX347*$E347*$F347*$G347*$M347)</f>
        <v>0</v>
      </c>
      <c r="CZ347" s="182"/>
      <c r="DA347" s="182">
        <v>0</v>
      </c>
      <c r="DB347" s="188"/>
      <c r="DC347" s="182">
        <f>(DB347*$E347*$F347*$G347*$M347)</f>
        <v>0</v>
      </c>
      <c r="DD347" s="182"/>
      <c r="DE347" s="187">
        <f>(DD347*$E347*$F347*$G347*$M347)</f>
        <v>0</v>
      </c>
      <c r="DF347" s="182"/>
      <c r="DG347" s="182"/>
      <c r="DH347" s="189"/>
      <c r="DI347" s="182">
        <f>(DH347*$E347*$F347*$G347*$M347)</f>
        <v>0</v>
      </c>
      <c r="DJ347" s="182"/>
      <c r="DK347" s="182">
        <f>(DJ347*$E347*$F347*$G347*$M347)</f>
        <v>0</v>
      </c>
      <c r="DL347" s="182"/>
      <c r="DM347" s="182">
        <f>(DL347*$E347*$F347*$G347*$N347)</f>
        <v>0</v>
      </c>
      <c r="DN347" s="182"/>
      <c r="DO347" s="187">
        <f>(DN347*$E347*$F347*$G347*$O347)</f>
        <v>0</v>
      </c>
      <c r="DP347" s="187"/>
      <c r="DQ347" s="187"/>
      <c r="DR347" s="183">
        <f t="shared" si="1434"/>
        <v>47</v>
      </c>
      <c r="DS347" s="183">
        <f t="shared" si="1434"/>
        <v>7147271.2819999997</v>
      </c>
      <c r="DT347" s="182">
        <v>48</v>
      </c>
      <c r="DU347" s="182">
        <v>7327454.5904000001</v>
      </c>
      <c r="DV347" s="167">
        <f t="shared" si="1450"/>
        <v>-1</v>
      </c>
      <c r="DW347" s="167">
        <f t="shared" si="1450"/>
        <v>-180183.30840000045</v>
      </c>
    </row>
    <row r="348" spans="1:127" ht="15.75" customHeight="1" x14ac:dyDescent="0.25">
      <c r="A348" s="170">
        <v>31</v>
      </c>
      <c r="B348" s="197"/>
      <c r="C348" s="198"/>
      <c r="D348" s="211" t="s">
        <v>770</v>
      </c>
      <c r="E348" s="158">
        <v>25969</v>
      </c>
      <c r="F348" s="262">
        <v>0.9</v>
      </c>
      <c r="G348" s="171"/>
      <c r="H348" s="169"/>
      <c r="I348" s="169"/>
      <c r="J348" s="169"/>
      <c r="K348" s="173"/>
      <c r="L348" s="174">
        <v>1.4</v>
      </c>
      <c r="M348" s="174">
        <v>1.68</v>
      </c>
      <c r="N348" s="174">
        <v>2.23</v>
      </c>
      <c r="O348" s="175">
        <v>2.57</v>
      </c>
      <c r="P348" s="166">
        <f t="shared" ref="P348:AD348" si="1503">SUM(P349:P367)</f>
        <v>718</v>
      </c>
      <c r="Q348" s="166">
        <f t="shared" si="1503"/>
        <v>31028798.401859995</v>
      </c>
      <c r="R348" s="166">
        <f t="shared" si="1503"/>
        <v>599</v>
      </c>
      <c r="S348" s="166">
        <f t="shared" si="1503"/>
        <v>33967033.379719995</v>
      </c>
      <c r="T348" s="166">
        <f t="shared" si="1503"/>
        <v>579</v>
      </c>
      <c r="U348" s="166">
        <f t="shared" si="1503"/>
        <v>22288523.608715001</v>
      </c>
      <c r="V348" s="166">
        <f t="shared" si="1503"/>
        <v>2</v>
      </c>
      <c r="W348" s="166">
        <f t="shared" si="1503"/>
        <v>55946.49492473065</v>
      </c>
      <c r="X348" s="166">
        <v>182</v>
      </c>
      <c r="Y348" s="166">
        <v>12215570.375119995</v>
      </c>
      <c r="Z348" s="166">
        <v>19</v>
      </c>
      <c r="AA348" s="166">
        <v>1273149.9614399998</v>
      </c>
      <c r="AB348" s="166">
        <f t="shared" si="1503"/>
        <v>201</v>
      </c>
      <c r="AC348" s="166">
        <f t="shared" si="1503"/>
        <v>13488720.336559996</v>
      </c>
      <c r="AD348" s="166">
        <f t="shared" si="1503"/>
        <v>0</v>
      </c>
      <c r="AE348" s="166">
        <f t="shared" ref="AE348:CP348" si="1504">SUM(AE349:AE367)</f>
        <v>0</v>
      </c>
      <c r="AF348" s="166">
        <f t="shared" si="1504"/>
        <v>0</v>
      </c>
      <c r="AG348" s="166">
        <f t="shared" si="1504"/>
        <v>0</v>
      </c>
      <c r="AH348" s="166">
        <f t="shared" si="1504"/>
        <v>53</v>
      </c>
      <c r="AI348" s="166">
        <f t="shared" si="1504"/>
        <v>2252931.2461600001</v>
      </c>
      <c r="AJ348" s="166">
        <f>SUM(AJ349:AJ367)</f>
        <v>0</v>
      </c>
      <c r="AK348" s="166">
        <f>SUM(AK349:AK367)</f>
        <v>0</v>
      </c>
      <c r="AL348" s="166">
        <f t="shared" si="1504"/>
        <v>0</v>
      </c>
      <c r="AM348" s="166">
        <f t="shared" si="1504"/>
        <v>0</v>
      </c>
      <c r="AN348" s="166">
        <f t="shared" si="1504"/>
        <v>204</v>
      </c>
      <c r="AO348" s="166">
        <f t="shared" si="1504"/>
        <v>5643961.4510199986</v>
      </c>
      <c r="AP348" s="166">
        <f t="shared" si="1504"/>
        <v>325</v>
      </c>
      <c r="AQ348" s="166">
        <f t="shared" si="1504"/>
        <v>10665244.966599999</v>
      </c>
      <c r="AR348" s="166">
        <f t="shared" si="1504"/>
        <v>224</v>
      </c>
      <c r="AS348" s="166">
        <f t="shared" si="1504"/>
        <v>6898952.339814499</v>
      </c>
      <c r="AT348" s="166">
        <f t="shared" si="1504"/>
        <v>1279</v>
      </c>
      <c r="AU348" s="166">
        <f t="shared" si="1504"/>
        <v>47623599.600092098</v>
      </c>
      <c r="AV348" s="166">
        <f t="shared" si="1504"/>
        <v>197</v>
      </c>
      <c r="AW348" s="166">
        <f t="shared" si="1504"/>
        <v>13457585.640000015</v>
      </c>
      <c r="AX348" s="166">
        <f t="shared" si="1504"/>
        <v>55</v>
      </c>
      <c r="AY348" s="166">
        <f t="shared" si="1504"/>
        <v>2305255.6648800001</v>
      </c>
      <c r="AZ348" s="166">
        <f t="shared" si="1504"/>
        <v>0</v>
      </c>
      <c r="BA348" s="166">
        <f t="shared" si="1504"/>
        <v>0</v>
      </c>
      <c r="BB348" s="166">
        <f t="shared" si="1504"/>
        <v>0</v>
      </c>
      <c r="BC348" s="166">
        <f t="shared" si="1504"/>
        <v>0</v>
      </c>
      <c r="BD348" s="166">
        <f t="shared" si="1504"/>
        <v>0</v>
      </c>
      <c r="BE348" s="166">
        <f t="shared" si="1504"/>
        <v>0</v>
      </c>
      <c r="BF348" s="166">
        <f t="shared" si="1504"/>
        <v>0</v>
      </c>
      <c r="BG348" s="166">
        <f t="shared" si="1504"/>
        <v>0</v>
      </c>
      <c r="BH348" s="166">
        <f t="shared" si="1504"/>
        <v>0</v>
      </c>
      <c r="BI348" s="166">
        <f t="shared" si="1504"/>
        <v>0</v>
      </c>
      <c r="BJ348" s="166">
        <f t="shared" si="1504"/>
        <v>0</v>
      </c>
      <c r="BK348" s="166">
        <f t="shared" si="1504"/>
        <v>0</v>
      </c>
      <c r="BL348" s="166">
        <f t="shared" si="1504"/>
        <v>131</v>
      </c>
      <c r="BM348" s="166">
        <f t="shared" si="1504"/>
        <v>4547205.1321345698</v>
      </c>
      <c r="BN348" s="166">
        <f t="shared" si="1504"/>
        <v>325</v>
      </c>
      <c r="BO348" s="166">
        <f t="shared" si="1504"/>
        <v>10840155.114936003</v>
      </c>
      <c r="BP348" s="166">
        <f t="shared" si="1504"/>
        <v>5</v>
      </c>
      <c r="BQ348" s="166">
        <f t="shared" si="1504"/>
        <v>165786.09599999999</v>
      </c>
      <c r="BR348" s="166">
        <f t="shared" si="1504"/>
        <v>0</v>
      </c>
      <c r="BS348" s="166">
        <f t="shared" si="1504"/>
        <v>0</v>
      </c>
      <c r="BT348" s="166">
        <f t="shared" si="1504"/>
        <v>134</v>
      </c>
      <c r="BU348" s="166">
        <f t="shared" si="1504"/>
        <v>4196504.6393262129</v>
      </c>
      <c r="BV348" s="166">
        <f t="shared" si="1504"/>
        <v>57</v>
      </c>
      <c r="BW348" s="166">
        <f t="shared" si="1504"/>
        <v>1430097.0408479997</v>
      </c>
      <c r="BX348" s="166">
        <f t="shared" si="1504"/>
        <v>113</v>
      </c>
      <c r="BY348" s="166">
        <f t="shared" si="1504"/>
        <v>4308508.8400788661</v>
      </c>
      <c r="BZ348" s="166">
        <f t="shared" si="1504"/>
        <v>200</v>
      </c>
      <c r="CA348" s="166">
        <f t="shared" si="1504"/>
        <v>8710218.2672992609</v>
      </c>
      <c r="CB348" s="166">
        <f t="shared" si="1504"/>
        <v>0</v>
      </c>
      <c r="CC348" s="166">
        <f t="shared" si="1504"/>
        <v>0</v>
      </c>
      <c r="CD348" s="166">
        <f t="shared" si="1504"/>
        <v>0</v>
      </c>
      <c r="CE348" s="166">
        <f t="shared" si="1504"/>
        <v>0</v>
      </c>
      <c r="CF348" s="166">
        <f t="shared" si="1504"/>
        <v>26</v>
      </c>
      <c r="CG348" s="166">
        <f t="shared" si="1504"/>
        <v>1338431.8723999998</v>
      </c>
      <c r="CH348" s="166">
        <f t="shared" si="1504"/>
        <v>101</v>
      </c>
      <c r="CI348" s="166">
        <f t="shared" si="1504"/>
        <v>3534198.2383233034</v>
      </c>
      <c r="CJ348" s="166">
        <f t="shared" si="1504"/>
        <v>0</v>
      </c>
      <c r="CK348" s="166"/>
      <c r="CL348" s="166">
        <f t="shared" si="1504"/>
        <v>37</v>
      </c>
      <c r="CM348" s="166">
        <f t="shared" si="1504"/>
        <v>1022347.5919999999</v>
      </c>
      <c r="CN348" s="166">
        <f t="shared" si="1504"/>
        <v>245</v>
      </c>
      <c r="CO348" s="166">
        <f t="shared" si="1504"/>
        <v>6850339.6572799999</v>
      </c>
      <c r="CP348" s="166">
        <f t="shared" si="1504"/>
        <v>231</v>
      </c>
      <c r="CQ348" s="166">
        <f t="shared" ref="CQ348:DQ348" si="1505">SUM(CQ349:CQ367)</f>
        <v>6371675.6770495353</v>
      </c>
      <c r="CR348" s="166">
        <f t="shared" si="1505"/>
        <v>98</v>
      </c>
      <c r="CS348" s="166">
        <f t="shared" si="1505"/>
        <v>2951356.9682028508</v>
      </c>
      <c r="CT348" s="166">
        <f t="shared" si="1505"/>
        <v>278</v>
      </c>
      <c r="CU348" s="166">
        <f t="shared" si="1505"/>
        <v>7995018.9567860626</v>
      </c>
      <c r="CV348" s="166">
        <f t="shared" si="1505"/>
        <v>472</v>
      </c>
      <c r="CW348" s="166">
        <v>15078638.199999981</v>
      </c>
      <c r="CX348" s="166">
        <f t="shared" si="1505"/>
        <v>266</v>
      </c>
      <c r="CY348" s="166">
        <f t="shared" si="1505"/>
        <v>8109019.0991619937</v>
      </c>
      <c r="CZ348" s="166">
        <f t="shared" si="1505"/>
        <v>0</v>
      </c>
      <c r="DA348" s="166">
        <v>0</v>
      </c>
      <c r="DB348" s="166">
        <f t="shared" si="1505"/>
        <v>78</v>
      </c>
      <c r="DC348" s="166">
        <f t="shared" si="1505"/>
        <v>1886209.4932800001</v>
      </c>
      <c r="DD348" s="166">
        <f t="shared" si="1505"/>
        <v>0</v>
      </c>
      <c r="DE348" s="166">
        <f t="shared" si="1505"/>
        <v>0</v>
      </c>
      <c r="DF348" s="166">
        <f t="shared" si="1505"/>
        <v>0</v>
      </c>
      <c r="DG348" s="166">
        <f t="shared" si="1505"/>
        <v>0</v>
      </c>
      <c r="DH348" s="166">
        <f t="shared" si="1505"/>
        <v>40</v>
      </c>
      <c r="DI348" s="166">
        <f t="shared" si="1505"/>
        <v>919240.27439999999</v>
      </c>
      <c r="DJ348" s="166">
        <f t="shared" si="1505"/>
        <v>189</v>
      </c>
      <c r="DK348" s="166">
        <f t="shared" si="1505"/>
        <v>5792322.9554976234</v>
      </c>
      <c r="DL348" s="166">
        <f t="shared" si="1505"/>
        <v>35</v>
      </c>
      <c r="DM348" s="166">
        <f t="shared" si="1505"/>
        <v>1126945.5302000002</v>
      </c>
      <c r="DN348" s="166">
        <f t="shared" si="1505"/>
        <v>51</v>
      </c>
      <c r="DO348" s="166">
        <f t="shared" si="1505"/>
        <v>2564830.8818999995</v>
      </c>
      <c r="DP348" s="166">
        <f t="shared" si="1505"/>
        <v>0</v>
      </c>
      <c r="DQ348" s="166">
        <f t="shared" si="1505"/>
        <v>0</v>
      </c>
      <c r="DR348" s="166">
        <f>SUM(DR349:DR367)</f>
        <v>7548</v>
      </c>
      <c r="DS348" s="166">
        <f t="shared" ref="DS348" si="1506">SUM(DS349:DS367)</f>
        <v>289415603.65745062</v>
      </c>
      <c r="DT348" s="166">
        <v>7665</v>
      </c>
      <c r="DU348" s="166">
        <v>289062658.16413397</v>
      </c>
      <c r="DV348" s="167">
        <f t="shared" si="1450"/>
        <v>-117</v>
      </c>
      <c r="DW348" s="167">
        <f t="shared" si="1450"/>
        <v>352945.49331665039</v>
      </c>
    </row>
    <row r="349" spans="1:127" ht="30" customHeight="1" x14ac:dyDescent="0.25">
      <c r="A349" s="154"/>
      <c r="B349" s="176">
        <v>303</v>
      </c>
      <c r="C349" s="177" t="s">
        <v>771</v>
      </c>
      <c r="D349" s="210" t="s">
        <v>772</v>
      </c>
      <c r="E349" s="158">
        <v>25969</v>
      </c>
      <c r="F349" s="179">
        <v>0.61</v>
      </c>
      <c r="G349" s="168">
        <v>1</v>
      </c>
      <c r="H349" s="169"/>
      <c r="I349" s="169"/>
      <c r="J349" s="169"/>
      <c r="K349" s="106"/>
      <c r="L349" s="180">
        <v>1.4</v>
      </c>
      <c r="M349" s="180">
        <v>1.68</v>
      </c>
      <c r="N349" s="180">
        <v>2.23</v>
      </c>
      <c r="O349" s="181">
        <v>2.57</v>
      </c>
      <c r="P349" s="244">
        <v>15</v>
      </c>
      <c r="Q349" s="182">
        <f>(P349*$E349*$F349*$G349*$L349*$Q$12)</f>
        <v>365929.17900000006</v>
      </c>
      <c r="R349" s="182">
        <v>3</v>
      </c>
      <c r="S349" s="182">
        <f>(R349*$E349*$F349*$G349*$L349*$S$12)</f>
        <v>73185.835800000001</v>
      </c>
      <c r="T349" s="182">
        <v>181</v>
      </c>
      <c r="U349" s="182">
        <f t="shared" ref="U349" si="1507">(T349/12*11*$E349*$F349*$G349*$L349*$U$12)+(T349/12*1*$E349*$F349*$G349*$L349*$U$14)</f>
        <v>5067841.9100749996</v>
      </c>
      <c r="V349" s="182"/>
      <c r="W349" s="183">
        <f>(V349*$E349*$F349*$G349*$L349*$W$12)/12*10+(V349*$E349*$F349*$G349*$L349*$W$13)/12*1++(V349*$E349*$F349*$G349*$L349*$W$14)/12*1</f>
        <v>0</v>
      </c>
      <c r="X349" s="183"/>
      <c r="Y349" s="183">
        <v>0</v>
      </c>
      <c r="Z349" s="183"/>
      <c r="AA349" s="183">
        <v>0</v>
      </c>
      <c r="AB349" s="182">
        <f>X349+Z349</f>
        <v>0</v>
      </c>
      <c r="AC349" s="182">
        <f>Y349+AA349</f>
        <v>0</v>
      </c>
      <c r="AD349" s="182"/>
      <c r="AE349" s="182">
        <f>(AD349*$E349*$F349*$G349*$L349*$AE$12)</f>
        <v>0</v>
      </c>
      <c r="AF349" s="182"/>
      <c r="AG349" s="182"/>
      <c r="AH349" s="182">
        <v>2</v>
      </c>
      <c r="AI349" s="182">
        <f>(AH349*$E349*$F349*$G349*$L349*$AI$12)</f>
        <v>48790.557200000003</v>
      </c>
      <c r="AJ349" s="182"/>
      <c r="AK349" s="182"/>
      <c r="AL349" s="182"/>
      <c r="AM349" s="182"/>
      <c r="AN349" s="182"/>
      <c r="AO349" s="182">
        <f>(AN349*$E349*$F349*$G349*$L349*$AO$12)</f>
        <v>0</v>
      </c>
      <c r="AP349" s="182">
        <v>22</v>
      </c>
      <c r="AQ349" s="183">
        <f>(AP349*$E349*$F349*$G349*$L349*$AQ$12)</f>
        <v>536696.12919999997</v>
      </c>
      <c r="AR349" s="182"/>
      <c r="AS349" s="182">
        <f>(AR349*$E349*$F349*$G349*$L349*$AS$12)/12*10+(AR349*$E349*$F349*$G349*$L349*$AS$13)/12*1+(AR349*$E349*$F349*$G349*$L349*$AS$14)/12*1</f>
        <v>0</v>
      </c>
      <c r="AT349" s="182">
        <v>180</v>
      </c>
      <c r="AU349" s="182">
        <f>(AT349*$E349*$F349*$G349*$M349*$AU$12)/12*10+(AT349*$E349*$F349*$G349*$M349*$AU$13)/12+(AT349*$E349*$F349*$G349*$M349*$AU$14*$AU$15)/12</f>
        <v>5520391.8927055923</v>
      </c>
      <c r="AV349" s="186"/>
      <c r="AW349" s="182">
        <f>(AV349*$E349*$F349*$G349*$M349*$AW$12)</f>
        <v>0</v>
      </c>
      <c r="AX349" s="182">
        <v>1</v>
      </c>
      <c r="AY349" s="187">
        <f>(AX349*$E349*$F349*$G349*$M349*$AY$12)</f>
        <v>29274.334319999998</v>
      </c>
      <c r="AZ349" s="182"/>
      <c r="BA349" s="182">
        <f>(AZ349*$E349*$F349*$G349*$L349*$BA$12)</f>
        <v>0</v>
      </c>
      <c r="BB349" s="182">
        <v>0</v>
      </c>
      <c r="BC349" s="182">
        <f>(BB349*$E349*$F349*$G349*$L349*$BC$12)</f>
        <v>0</v>
      </c>
      <c r="BD349" s="182"/>
      <c r="BE349" s="182">
        <f>(BD349*$E349*$F349*$G349*$L349*$BE$12)</f>
        <v>0</v>
      </c>
      <c r="BF349" s="182"/>
      <c r="BG349" s="182">
        <f>(BF349*$E349*$F349*$G349*$L349*$BG$12)</f>
        <v>0</v>
      </c>
      <c r="BH349" s="182"/>
      <c r="BI349" s="183">
        <f>(BH349*$E349*$F349*$G349*$L349*$BI$12)</f>
        <v>0</v>
      </c>
      <c r="BJ349" s="182"/>
      <c r="BK349" s="183">
        <f>(BJ349*$E349*$F349*$G349*$L349*$BK$12)</f>
        <v>0</v>
      </c>
      <c r="BL349" s="182">
        <v>10</v>
      </c>
      <c r="BM349" s="182">
        <f t="shared" ref="BM349" si="1508">(BL349/12*11*$E349*$F349*$G349*$L349*$BM$12)+(BL349/12*$E349*$F349*$G349*$L349*$BM$12*$BM$15)</f>
        <v>309571.20637827995</v>
      </c>
      <c r="BN349" s="182"/>
      <c r="BO349" s="182">
        <f>(BN349*$E349*$F349*$G349*$M349*$BO$12)</f>
        <v>0</v>
      </c>
      <c r="BP349" s="182"/>
      <c r="BQ349" s="182">
        <f>(BP349*$E349*$F349*$G349*$M349*$BQ$12)</f>
        <v>0</v>
      </c>
      <c r="BR349" s="182"/>
      <c r="BS349" s="183">
        <f>(BR349*$E349*$F349*$G349*$M349*$BS$12)</f>
        <v>0</v>
      </c>
      <c r="BT349" s="182">
        <v>24</v>
      </c>
      <c r="BU349" s="182">
        <f t="shared" ref="BU349" si="1509">(BT349*$E349*$F349*$G349*$M349*$BU$12)/12*10+(BT349*$E349*$F349*$G349*$M349*$BU$13)/12+(BT349*$E349*$F349*$G349*$M349*$BU$13*$BU$15)/12</f>
        <v>711526.85378019838</v>
      </c>
      <c r="BV349" s="182">
        <v>5</v>
      </c>
      <c r="BW349" s="182">
        <f>(BV349*$E349*$F349*$G349*$M349*$BW$12)</f>
        <v>119758.64039999999</v>
      </c>
      <c r="BX349" s="182">
        <v>14</v>
      </c>
      <c r="BY349" s="183">
        <f t="shared" ref="BY349" si="1510">(BX349*$E349*$F349*$G349*$M349*$BY$12)/12*11+(BX349*$E349*$F349*$G349*$M349*$BY$12*$BY$15)/12</f>
        <v>502494.48086342396</v>
      </c>
      <c r="BZ349" s="182">
        <v>35</v>
      </c>
      <c r="CA349" s="187">
        <f t="shared" ref="CA349" si="1511">(BZ349*$E349*$F349*$G349*$M349*$CA$12)/12*11+(BZ349*$E349*$F349*$G349*$M349*$CA$12*$CA$15)/12</f>
        <v>1217343.2530371</v>
      </c>
      <c r="CB349" s="182"/>
      <c r="CC349" s="182">
        <f>(CB349*$E349*$F349*$G349*$L349*$CC$12)</f>
        <v>0</v>
      </c>
      <c r="CD349" s="182"/>
      <c r="CE349" s="182">
        <f>(CD349*$E349*$F349*$G349*$L349*$CE$12)</f>
        <v>0</v>
      </c>
      <c r="CF349" s="182"/>
      <c r="CG349" s="182">
        <f>(CF349*$E349*$F349*$G349*$L349*$CG$12)</f>
        <v>0</v>
      </c>
      <c r="CH349" s="182"/>
      <c r="CI349" s="182">
        <f>(CH349*$E349*$F349*$G349*$M349*$CI$12)</f>
        <v>0</v>
      </c>
      <c r="CJ349" s="182"/>
      <c r="CK349" s="182"/>
      <c r="CL349" s="182"/>
      <c r="CM349" s="183">
        <f>(CL349*$E349*$F349*$G349*$L349*$CM$12)</f>
        <v>0</v>
      </c>
      <c r="CN349" s="182"/>
      <c r="CO349" s="183">
        <f>(CN349*$E349*$F349*$G349*$L349*$CO$12)</f>
        <v>0</v>
      </c>
      <c r="CP349" s="182">
        <v>60</v>
      </c>
      <c r="CQ349" s="182">
        <f>(CP349*$E349*$F349*$G349*$L349*$CQ$12)/12*11+(CP349*$E349*$F349*$G349*$L349*$CQ$12*$CQ$15)/12</f>
        <v>1474787.7369792003</v>
      </c>
      <c r="CR349" s="182">
        <v>12</v>
      </c>
      <c r="CS349" s="182">
        <f t="shared" ref="CS349" si="1512">(CR349*$E349*$F349*$G349*$L349*$CS$12)/12*10+(CR349*$E349*$F349*$G349*$L349*$CS$13)/12+(CR349*$E349*$F349*$G349*$L349*$CS$13*$CS$15)/12</f>
        <v>319055.20359691995</v>
      </c>
      <c r="CT349" s="182">
        <v>30</v>
      </c>
      <c r="CU349" s="182">
        <f t="shared" ref="CU349" si="1513">(CT349*$E349*$F349*$G349*$L349*$CU$12)/12*11+(CT349*$E349*$F349*$G349*$L349*$CU$12*$CU$15)/12</f>
        <v>698452.35058620013</v>
      </c>
      <c r="CV349" s="182">
        <v>6</v>
      </c>
      <c r="CW349" s="182">
        <v>159460.05000000002</v>
      </c>
      <c r="CX349" s="182"/>
      <c r="CY349" s="182">
        <f>(CX349*$E349*$F349*$G349*$M349*$CY$12)</f>
        <v>0</v>
      </c>
      <c r="CZ349" s="182"/>
      <c r="DA349" s="182">
        <v>0</v>
      </c>
      <c r="DB349" s="188"/>
      <c r="DC349" s="182">
        <f>(DB349*$E349*$F349*$G349*$M349*$DC$12)</f>
        <v>0</v>
      </c>
      <c r="DD349" s="182"/>
      <c r="DE349" s="187"/>
      <c r="DF349" s="182"/>
      <c r="DG349" s="182">
        <f>(DF349*$E349*$F349*$G349*$M349*$DG$12)</f>
        <v>0</v>
      </c>
      <c r="DH349" s="189">
        <f>ROUND(2*0.75,0)</f>
        <v>2</v>
      </c>
      <c r="DI349" s="182">
        <f>(DH349*$E349*$F349*$G349*$M349*$DI$12)</f>
        <v>53226.062399999995</v>
      </c>
      <c r="DJ349" s="182">
        <v>3</v>
      </c>
      <c r="DK349" s="182">
        <f>(DJ349/12*11*$E349*$F349*$G349*$M349*$DK$12)+(DJ349/12*1*$E349*$F349*$M349*$G349*$DK$12*$DK$15)</f>
        <v>86999.994970139989</v>
      </c>
      <c r="DL349" s="182">
        <f>ROUND(4*0.75,0)</f>
        <v>3</v>
      </c>
      <c r="DM349" s="182">
        <f>(DL349*$E349*$F349*$G349*$N349*$DM$12)</f>
        <v>105976.8921</v>
      </c>
      <c r="DN349" s="182">
        <f>ROUND(2*0.75,0)</f>
        <v>2</v>
      </c>
      <c r="DO349" s="190">
        <f>(DN349*$E349*$F349*$G349*$O349*$DO$12)</f>
        <v>81423.20259999999</v>
      </c>
      <c r="DP349" s="187"/>
      <c r="DQ349" s="187"/>
      <c r="DR349" s="183">
        <f t="shared" ref="DR349:DS367" si="1514">SUM(P349,R349,T349,V349,AB349,AJ349,AD349,AF349,AH349,AL349,AN349,AP349,AV349,AZ349,BB349,CF349,AR349,BF349,BH349,BJ349,CT349,BL349,BN349,AT349,BR349,AX349,CV349,BT349,CX349,BV349,BX349,BZ349,CH349,CB349,CD349,CJ349,CL349,CN349,CP349,CR349,CZ349,DB349,BP349,BD349,DD349,DF349,DH349,DJ349,DL349,DN349,DP349)</f>
        <v>610</v>
      </c>
      <c r="DS349" s="183">
        <f t="shared" si="1514"/>
        <v>17482185.765992049</v>
      </c>
      <c r="DT349" s="182">
        <v>611</v>
      </c>
      <c r="DU349" s="182">
        <v>16846717.713440001</v>
      </c>
      <c r="DV349" s="167">
        <f t="shared" si="1450"/>
        <v>-1</v>
      </c>
      <c r="DW349" s="167">
        <f t="shared" si="1450"/>
        <v>635468.05255204812</v>
      </c>
    </row>
    <row r="350" spans="1:127" ht="30" customHeight="1" x14ac:dyDescent="0.25">
      <c r="A350" s="154"/>
      <c r="B350" s="176">
        <v>304</v>
      </c>
      <c r="C350" s="177" t="s">
        <v>773</v>
      </c>
      <c r="D350" s="210" t="s">
        <v>774</v>
      </c>
      <c r="E350" s="158">
        <v>25969</v>
      </c>
      <c r="F350" s="179">
        <v>0.55000000000000004</v>
      </c>
      <c r="G350" s="168">
        <v>1</v>
      </c>
      <c r="H350" s="169"/>
      <c r="I350" s="169"/>
      <c r="J350" s="169"/>
      <c r="K350" s="106"/>
      <c r="L350" s="180">
        <v>1.4</v>
      </c>
      <c r="M350" s="180">
        <v>1.68</v>
      </c>
      <c r="N350" s="180">
        <v>2.23</v>
      </c>
      <c r="O350" s="181">
        <v>2.57</v>
      </c>
      <c r="P350" s="244">
        <v>40</v>
      </c>
      <c r="Q350" s="182">
        <f>(P350*$E350*$F350*$G350*$L350)</f>
        <v>799845.2</v>
      </c>
      <c r="R350" s="182">
        <v>27</v>
      </c>
      <c r="S350" s="187">
        <f>(R350*$E350*$F350*$G350*$L350)</f>
        <v>539895.51</v>
      </c>
      <c r="T350" s="182"/>
      <c r="U350" s="182">
        <f>(T350*$E350*$F350*$G350*$L350)</f>
        <v>0</v>
      </c>
      <c r="V350" s="182"/>
      <c r="W350" s="182">
        <f>(V350*$E350*$F350*$G350*$L350)</f>
        <v>0</v>
      </c>
      <c r="X350" s="182">
        <v>7</v>
      </c>
      <c r="Y350" s="182">
        <v>139972.91</v>
      </c>
      <c r="Z350" s="182">
        <v>2</v>
      </c>
      <c r="AA350" s="182">
        <v>47990.712</v>
      </c>
      <c r="AB350" s="182">
        <f>X350+Z350</f>
        <v>9</v>
      </c>
      <c r="AC350" s="182">
        <f>Y350+AA350</f>
        <v>187963.622</v>
      </c>
      <c r="AD350" s="182"/>
      <c r="AE350" s="182">
        <f>(AD350*$E350*$F350*$G350*$L350)</f>
        <v>0</v>
      </c>
      <c r="AF350" s="182"/>
      <c r="AG350" s="182"/>
      <c r="AH350" s="182">
        <v>2</v>
      </c>
      <c r="AI350" s="182">
        <f>(AH350*$E350*$F350*$G350*$L350)</f>
        <v>39992.26</v>
      </c>
      <c r="AJ350" s="182"/>
      <c r="AK350" s="182"/>
      <c r="AL350" s="182"/>
      <c r="AM350" s="182"/>
      <c r="AN350" s="182">
        <v>3</v>
      </c>
      <c r="AO350" s="182">
        <f>(AN350*$E350*$F350*$G350*$L350)</f>
        <v>59988.390000000007</v>
      </c>
      <c r="AP350" s="182">
        <v>4</v>
      </c>
      <c r="AQ350" s="182">
        <f>(AP350*$E350*$F350*$G350*$L350)</f>
        <v>79984.52</v>
      </c>
      <c r="AR350" s="182">
        <v>34</v>
      </c>
      <c r="AS350" s="182">
        <f>(AR350*$E350*$F350*$G350*$L350)</f>
        <v>679868.42</v>
      </c>
      <c r="AT350" s="182">
        <f>130-15+10</f>
        <v>125</v>
      </c>
      <c r="AU350" s="183">
        <f>(AT350*$E350*$F350*$G350*$M350)</f>
        <v>2999419.5000000005</v>
      </c>
      <c r="AV350" s="188">
        <v>11</v>
      </c>
      <c r="AW350" s="182">
        <v>263948.95999999996</v>
      </c>
      <c r="AX350" s="182">
        <v>6</v>
      </c>
      <c r="AY350" s="187">
        <f>(AX350*$E350*$F350*$G350*$M350)</f>
        <v>143972.13600000003</v>
      </c>
      <c r="AZ350" s="182"/>
      <c r="BA350" s="182">
        <f>(AZ350*$E350*$F350*$G350*$L350*$AO$12)</f>
        <v>0</v>
      </c>
      <c r="BB350" s="182"/>
      <c r="BC350" s="182">
        <f>(BB350*$E350*$F350*$G350*$L350*BC$12)</f>
        <v>0</v>
      </c>
      <c r="BD350" s="182"/>
      <c r="BE350" s="182">
        <f>(BD350*$E350*$F350*$G350*$L350*BE$12)</f>
        <v>0</v>
      </c>
      <c r="BF350" s="182"/>
      <c r="BG350" s="182">
        <f>(BF350*$E350*$F350*$G350*$L350)</f>
        <v>0</v>
      </c>
      <c r="BH350" s="182"/>
      <c r="BI350" s="182">
        <f t="shared" ref="BI350" si="1515">(BH350*$E350*$F350*$G350*$L350)</f>
        <v>0</v>
      </c>
      <c r="BJ350" s="182"/>
      <c r="BK350" s="182"/>
      <c r="BL350" s="182">
        <v>11</v>
      </c>
      <c r="BM350" s="182">
        <f>(BL350*$E350*$F350*$G350*$L350)</f>
        <v>219957.43</v>
      </c>
      <c r="BN350" s="182">
        <v>39</v>
      </c>
      <c r="BO350" s="182">
        <f>(BN350*$E350*$F350*$G350*$M350)</f>
        <v>935818.88400000008</v>
      </c>
      <c r="BP350" s="182"/>
      <c r="BQ350" s="182">
        <f>(BP350*$E350*$F350*$G350*$M350)</f>
        <v>0</v>
      </c>
      <c r="BR350" s="182"/>
      <c r="BS350" s="182">
        <f>(BR350*$E350*$F350*$G350*$M350)</f>
        <v>0</v>
      </c>
      <c r="BT350" s="182">
        <v>30</v>
      </c>
      <c r="BU350" s="182">
        <f>(BT350*$E350*$F350*$G350*$M350)</f>
        <v>719860.68</v>
      </c>
      <c r="BV350" s="182">
        <v>32</v>
      </c>
      <c r="BW350" s="182">
        <f>(BV350*$E350*$F350*$G350*$M350)</f>
        <v>767851.39199999999</v>
      </c>
      <c r="BX350" s="182">
        <v>19</v>
      </c>
      <c r="BY350" s="182">
        <f>(BX350*$E350*$F350*$G350*$M350)</f>
        <v>455911.76400000008</v>
      </c>
      <c r="BZ350" s="182">
        <v>7</v>
      </c>
      <c r="CA350" s="187">
        <f>(BZ350*$E350*$F350*$G350*$M350)</f>
        <v>167967.492</v>
      </c>
      <c r="CB350" s="182"/>
      <c r="CC350" s="182">
        <f>(CB350*$E350*$F350*$G350*$L350)</f>
        <v>0</v>
      </c>
      <c r="CD350" s="182"/>
      <c r="CE350" s="183">
        <f>(CD350*$E350*$F350*$G350*$L350)</f>
        <v>0</v>
      </c>
      <c r="CF350" s="182"/>
      <c r="CG350" s="182">
        <f>(CF350*$E350*$F350*$G350*$L350)</f>
        <v>0</v>
      </c>
      <c r="CH350" s="182">
        <v>20</v>
      </c>
      <c r="CI350" s="182">
        <f>(CH350*$E350*$F350*$G350*$M350)</f>
        <v>479907.12</v>
      </c>
      <c r="CJ350" s="182"/>
      <c r="CK350" s="182"/>
      <c r="CL350" s="182"/>
      <c r="CM350" s="182">
        <f>(CL350*$E350*$F350*$G350*$L350)</f>
        <v>0</v>
      </c>
      <c r="CN350" s="182"/>
      <c r="CO350" s="182">
        <f>(CN350*$E350*$F350*$G350*$L350)</f>
        <v>0</v>
      </c>
      <c r="CP350" s="182">
        <v>10</v>
      </c>
      <c r="CQ350" s="182">
        <f>(CP350*$E350*$F350*$G350*$L350)</f>
        <v>199961.3</v>
      </c>
      <c r="CR350" s="182">
        <v>4</v>
      </c>
      <c r="CS350" s="182">
        <f>(CR350*$E350*$F350*$G350*$L350)</f>
        <v>79984.52</v>
      </c>
      <c r="CT350" s="182">
        <v>21</v>
      </c>
      <c r="CU350" s="182">
        <f>(CT350*$E350*$F350*$G350*$L350)</f>
        <v>419918.73</v>
      </c>
      <c r="CV350" s="182">
        <v>64</v>
      </c>
      <c r="CW350" s="182">
        <v>1549554.9000000013</v>
      </c>
      <c r="CX350" s="182">
        <v>80</v>
      </c>
      <c r="CY350" s="182">
        <f>(CX350*$E350*$F350*$G350*$M350)</f>
        <v>1919628.48</v>
      </c>
      <c r="CZ350" s="182"/>
      <c r="DA350" s="182">
        <v>0</v>
      </c>
      <c r="DB350" s="188">
        <v>6</v>
      </c>
      <c r="DC350" s="182">
        <f>(DB350*$E350*$F350*$G350*$M350)</f>
        <v>143972.13600000003</v>
      </c>
      <c r="DD350" s="182"/>
      <c r="DE350" s="187">
        <f>(DD350*$E350*$F350*$G350*$M350)</f>
        <v>0</v>
      </c>
      <c r="DF350" s="182"/>
      <c r="DG350" s="182"/>
      <c r="DH350" s="189">
        <f>ROUND(3*0.75,0)</f>
        <v>2</v>
      </c>
      <c r="DI350" s="182">
        <f>(DH350*$E350*$F350*$G350*$M350)</f>
        <v>47990.712</v>
      </c>
      <c r="DJ350" s="182">
        <v>8</v>
      </c>
      <c r="DK350" s="182">
        <f>(DJ350*$E350*$F350*$G350*$M350)</f>
        <v>191962.848</v>
      </c>
      <c r="DL350" s="182">
        <f>ROUND(5*0.75,0)</f>
        <v>4</v>
      </c>
      <c r="DM350" s="182">
        <f>(DL350*$E350*$F350*$G350*$N350)</f>
        <v>127403.914</v>
      </c>
      <c r="DN350" s="182">
        <f>ROUND(2*0.75,0)</f>
        <v>2</v>
      </c>
      <c r="DO350" s="187">
        <f>(DN350*$E350*$F350*$G350*$O350)</f>
        <v>73414.362999999998</v>
      </c>
      <c r="DP350" s="187"/>
      <c r="DQ350" s="187"/>
      <c r="DR350" s="183">
        <f t="shared" si="1514"/>
        <v>620</v>
      </c>
      <c r="DS350" s="183">
        <f t="shared" si="1514"/>
        <v>14295945.183000002</v>
      </c>
      <c r="DT350" s="182">
        <v>632</v>
      </c>
      <c r="DU350" s="182">
        <v>14571891.733000003</v>
      </c>
      <c r="DV350" s="167">
        <f t="shared" si="1450"/>
        <v>-12</v>
      </c>
      <c r="DW350" s="167">
        <f t="shared" si="1450"/>
        <v>-275946.55000000075</v>
      </c>
    </row>
    <row r="351" spans="1:127" ht="30" customHeight="1" x14ac:dyDescent="0.25">
      <c r="A351" s="154"/>
      <c r="B351" s="176">
        <v>305</v>
      </c>
      <c r="C351" s="177" t="s">
        <v>775</v>
      </c>
      <c r="D351" s="210" t="s">
        <v>776</v>
      </c>
      <c r="E351" s="158">
        <v>25969</v>
      </c>
      <c r="F351" s="179">
        <v>0.71</v>
      </c>
      <c r="G351" s="168">
        <v>1</v>
      </c>
      <c r="H351" s="169"/>
      <c r="I351" s="169"/>
      <c r="J351" s="169"/>
      <c r="K351" s="106"/>
      <c r="L351" s="180">
        <v>1.4</v>
      </c>
      <c r="M351" s="180">
        <v>1.68</v>
      </c>
      <c r="N351" s="180">
        <v>2.23</v>
      </c>
      <c r="O351" s="181">
        <v>2.57</v>
      </c>
      <c r="P351" s="244">
        <v>224</v>
      </c>
      <c r="Q351" s="182">
        <f t="shared" ref="Q351:Q356" si="1516">(P351*$E351*$F351*$G351*$L351*$Q$12)</f>
        <v>6360369.0303999996</v>
      </c>
      <c r="R351" s="182">
        <v>100</v>
      </c>
      <c r="S351" s="182">
        <f t="shared" ref="S351:S356" si="1517">(R351*$E351*$F351*$G351*$L351*$S$12)</f>
        <v>2839450.46</v>
      </c>
      <c r="T351" s="182">
        <v>70</v>
      </c>
      <c r="U351" s="182">
        <f t="shared" ref="U351:U356" si="1518">(T351/12*11*$E351*$F351*$G351*$L351*$U$12)+(T351/12*1*$E351*$F351*$G351*$L351*$U$14)</f>
        <v>2281240.3127499996</v>
      </c>
      <c r="V351" s="182">
        <v>1</v>
      </c>
      <c r="W351" s="183">
        <f>(V351*$E351*$F351*$G351*$L351*$W$12)/12*10+(V351*$E351*$F351*$G351*$L351*$W$13)/12*1+(V351*$E351*$F351*$G351*$L351*$W$14*$W$15)/12*1</f>
        <v>32828.108592197321</v>
      </c>
      <c r="X351" s="183">
        <v>3</v>
      </c>
      <c r="Y351" s="183">
        <v>108415.38119999997</v>
      </c>
      <c r="Z351" s="183">
        <v>2</v>
      </c>
      <c r="AA351" s="183">
        <v>86732.304959999979</v>
      </c>
      <c r="AB351" s="182">
        <f t="shared" ref="AB351:AC358" si="1519">X351+Z351</f>
        <v>5</v>
      </c>
      <c r="AC351" s="182">
        <f t="shared" si="1519"/>
        <v>195147.68615999995</v>
      </c>
      <c r="AD351" s="182"/>
      <c r="AE351" s="182">
        <f t="shared" ref="AE351:AE356" si="1520">(AD351*$E351*$F351*$G351*$L351*$AE$12)</f>
        <v>0</v>
      </c>
      <c r="AF351" s="182"/>
      <c r="AG351" s="182"/>
      <c r="AH351" s="182">
        <v>10</v>
      </c>
      <c r="AI351" s="182">
        <f t="shared" ref="AI351:AI356" si="1521">(AH351*$E351*$F351*$G351*$L351*$AI$12)</f>
        <v>283945.04600000003</v>
      </c>
      <c r="AJ351" s="182"/>
      <c r="AK351" s="182"/>
      <c r="AL351" s="182"/>
      <c r="AM351" s="182"/>
      <c r="AN351" s="182">
        <v>166</v>
      </c>
      <c r="AO351" s="182">
        <v>4693610.87</v>
      </c>
      <c r="AP351" s="182">
        <v>61</v>
      </c>
      <c r="AQ351" s="183">
        <f t="shared" ref="AQ351:AQ356" si="1522">(AP351*$E351*$F351*$G351*$L351*$AQ$12)</f>
        <v>1732064.7805999997</v>
      </c>
      <c r="AR351" s="182">
        <v>91</v>
      </c>
      <c r="AS351" s="182">
        <f t="shared" ref="AS351:AS355" si="1523">(AR351*$E351*$F351*$G351*$L351*$AS$12)/12*10+(AR351*$E351*$F351*$G351*$L351*$AS$13)/12*1+(AR351*$E351*$F351*$L351*$G351*$AS$14*$AS$15)/12*1</f>
        <v>2789398.262126233</v>
      </c>
      <c r="AT351" s="182">
        <f>350+4</f>
        <v>354</v>
      </c>
      <c r="AU351" s="182">
        <f t="shared" ref="AU351:AU355" si="1524">(AT351*$E351*$F351*$G351*$M351*$AU$12)/12*10+(AT351*$E351*$F351*$G351*$M351*$AU$13)/12+(AT351*$E351*$F351*$G351*$M351*$AU$14*$AU$15)/12</f>
        <v>12636569.201390013</v>
      </c>
      <c r="AV351" s="188">
        <v>19</v>
      </c>
      <c r="AW351" s="182">
        <v>823956.85000000021</v>
      </c>
      <c r="AX351" s="182">
        <v>14</v>
      </c>
      <c r="AY351" s="187">
        <f t="shared" ref="AY351:AY356" si="1525">(AX351*$E351*$F351*$G351*$M351*$AY$12)</f>
        <v>477027.67728</v>
      </c>
      <c r="AZ351" s="182"/>
      <c r="BA351" s="182">
        <f t="shared" ref="BA351:BA356" si="1526">(AZ351*$E351*$F351*$G351*$L351*$BA$12)</f>
        <v>0</v>
      </c>
      <c r="BB351" s="182"/>
      <c r="BC351" s="182">
        <f t="shared" ref="BC351:BC356" si="1527">(BB351*$E351*$F351*$G351*$L351*$BC$12)</f>
        <v>0</v>
      </c>
      <c r="BD351" s="182"/>
      <c r="BE351" s="182">
        <f t="shared" ref="BE351:BE356" si="1528">(BD351*$E351*$F351*$G351*$L351*$BE$12)</f>
        <v>0</v>
      </c>
      <c r="BF351" s="182"/>
      <c r="BG351" s="182">
        <f t="shared" ref="BG351:BG356" si="1529">(BF351*$E351*$F351*$G351*$L351*$BG$12)</f>
        <v>0</v>
      </c>
      <c r="BH351" s="182"/>
      <c r="BI351" s="183">
        <f t="shared" ref="BI351:BI356" si="1530">(BH351*$E351*$F351*$G351*$L351*$BI$12)</f>
        <v>0</v>
      </c>
      <c r="BJ351" s="182"/>
      <c r="BK351" s="183">
        <f t="shared" ref="BK351:BK356" si="1531">(BJ351*$E351*$F351*$G351*$L351*$BK$12)</f>
        <v>0</v>
      </c>
      <c r="BL351" s="182">
        <v>50</v>
      </c>
      <c r="BM351" s="182">
        <f t="shared" ref="BM351" si="1532">(BL351/12*11*$E351*$F351*$G351*$L351*$BM$12)+(BL351/12*$E351*$F351*$G351*$L351*$BM$12*$BM$15)</f>
        <v>1801602.9223654</v>
      </c>
      <c r="BN351" s="182">
        <v>130</v>
      </c>
      <c r="BO351" s="182">
        <f t="shared" ref="BO351:BO356" si="1533">(BN351*$E351*$F351*$G351*$M351*$BO$12)</f>
        <v>4429542.7176000001</v>
      </c>
      <c r="BP351" s="182"/>
      <c r="BQ351" s="182">
        <f t="shared" ref="BQ351:BQ356" si="1534">(BP351*$E351*$F351*$G351*$M351*$BQ$12)</f>
        <v>0</v>
      </c>
      <c r="BR351" s="182"/>
      <c r="BS351" s="183">
        <f t="shared" ref="BS351:BS356" si="1535">(BR351*$E351*$F351*$G351*$M351*$BS$12)</f>
        <v>0</v>
      </c>
      <c r="BT351" s="182">
        <v>23</v>
      </c>
      <c r="BU351" s="182">
        <f t="shared" ref="BU351" si="1536">(BT351*$E351*$F351*$G351*$M351*$BU$12)/12*10+(BT351*$E351*$F351*$G351*$M351*$BU$13)/12+(BT351*$E351*$F351*$G351*$M351*$BU$13*$BU$15)/12</f>
        <v>793663.49195564468</v>
      </c>
      <c r="BV351" s="182"/>
      <c r="BW351" s="182">
        <f t="shared" ref="BW351:BW356" si="1537">(BV351*$E351*$F351*$G351*$M351*$BW$12)</f>
        <v>0</v>
      </c>
      <c r="BX351" s="182">
        <v>30</v>
      </c>
      <c r="BY351" s="183">
        <f t="shared" ref="BY351" si="1538">(BX351*$E351*$F351*$G351*$M351*$BY$12)/12*11+(BX351*$E351*$F351*$G351*$M351*$BY$12*$BY$15)/12</f>
        <v>1253294.19700128</v>
      </c>
      <c r="BZ351" s="182">
        <v>60</v>
      </c>
      <c r="CA351" s="187">
        <f t="shared" ref="CA351:CA353" si="1539">(BZ351*$E351*$F351*$G351*$M351*$CA$12)/12*11+(BZ351*$E351*$F351*$G351*$M351*$CA$12*$CA$15)/12</f>
        <v>2428984.6641396</v>
      </c>
      <c r="CB351" s="182"/>
      <c r="CC351" s="182">
        <f t="shared" ref="CC351:CC356" si="1540">(CB351*$E351*$F351*$G351*$L351*$CC$12)</f>
        <v>0</v>
      </c>
      <c r="CD351" s="182"/>
      <c r="CE351" s="182">
        <f t="shared" ref="CE351:CE356" si="1541">(CD351*$E351*$F351*$G351*$L351*$CE$12)</f>
        <v>0</v>
      </c>
      <c r="CF351" s="182"/>
      <c r="CG351" s="182">
        <f t="shared" ref="CG351:CG356" si="1542">(CF351*$E351*$F351*$G351*$L351*$CG$12)</f>
        <v>0</v>
      </c>
      <c r="CH351" s="182">
        <v>15</v>
      </c>
      <c r="CI351" s="182">
        <f t="shared" ref="CI351:CI353" si="1543">(CH351*$E351*$F351*$G351*$M351*$CI$12)/12*11+(CH351*$E351*$F351*$G351*$M351*$CI$12*$CI$15)/12</f>
        <v>517808.12291837996</v>
      </c>
      <c r="CJ351" s="182"/>
      <c r="CK351" s="182"/>
      <c r="CL351" s="182"/>
      <c r="CM351" s="183">
        <f t="shared" ref="CM351:CM356" si="1544">(CL351*$E351*$F351*$G351*$L351*$CM$12)</f>
        <v>0</v>
      </c>
      <c r="CN351" s="182">
        <v>63</v>
      </c>
      <c r="CO351" s="183">
        <f t="shared" ref="CO351:CO356" si="1545">(CN351*$E351*$F351*$G351*$L351*$CO$12)</f>
        <v>1300984.5743999998</v>
      </c>
      <c r="CP351" s="182">
        <v>95</v>
      </c>
      <c r="CQ351" s="182">
        <f>(CP351*$E351*$F351*$G351*$L351*$CQ$12)/12*11+(CP351*$E351*$F351*$G351*$L351*$CQ$12*$CQ$15)/12</f>
        <v>2717880.6792143993</v>
      </c>
      <c r="CR351" s="182">
        <v>20</v>
      </c>
      <c r="CS351" s="182">
        <f t="shared" ref="CS351:CS354" si="1546">(CR351*$E351*$F351*$G351*$L351*$CS$12)/12*10+(CR351*$E351*$F351*$G351*$L351*$CS$13)/12+(CR351*$E351*$F351*$G351*$L351*$CS$13*$CS$15)/12</f>
        <v>618932.2255568665</v>
      </c>
      <c r="CT351" s="182">
        <v>60</v>
      </c>
      <c r="CU351" s="182">
        <f t="shared" ref="CU351" si="1547">(CT351*$E351*$F351*$G351*$L351*$CU$12)/12*11+(CT351*$E351*$F351*$G351*$L351*$CU$12*$CU$15)/12</f>
        <v>1625905.4718563997</v>
      </c>
      <c r="CV351" s="182">
        <v>111</v>
      </c>
      <c r="CW351" s="182">
        <v>3405791.429999996</v>
      </c>
      <c r="CX351" s="182">
        <v>80</v>
      </c>
      <c r="CY351" s="182">
        <f t="shared" ref="CY351" si="1548">(CX351/12*11*$E351*$F351*$G351*$M351*$CY$12)+(CX351/12*$E351*$F351*$G351*$M351*$CY$15*$CY$12)</f>
        <v>2674303.8911366398</v>
      </c>
      <c r="CZ351" s="182"/>
      <c r="DA351" s="182">
        <v>0</v>
      </c>
      <c r="DB351" s="188">
        <v>26</v>
      </c>
      <c r="DC351" s="182">
        <f t="shared" ref="DC351:DC356" si="1549">(DB351*$E351*$F351*$G351*$M351*$DC$12)</f>
        <v>724834.26287999994</v>
      </c>
      <c r="DD351" s="182"/>
      <c r="DE351" s="187"/>
      <c r="DF351" s="182"/>
      <c r="DG351" s="182">
        <f t="shared" ref="DG351:DG356" si="1550">(DF351*$E351*$F351*$G351*$M351*$DG$12)</f>
        <v>0</v>
      </c>
      <c r="DH351" s="189">
        <f>ROUND(2*0.75,0)</f>
        <v>2</v>
      </c>
      <c r="DI351" s="182">
        <f>(DH351*$E351*$F351*$G351*$M351*$DI$12)</f>
        <v>61951.646399999991</v>
      </c>
      <c r="DJ351" s="182">
        <v>19</v>
      </c>
      <c r="DK351" s="182">
        <f>(DJ351/12*11*$E351*$F351*$G351*$M351*$DK$12)+(DJ351/12*1*$E351*$F351*$M351*$G351*$DK$12*$DK$15)</f>
        <v>641327.83177441987</v>
      </c>
      <c r="DL351" s="182"/>
      <c r="DM351" s="182">
        <f t="shared" ref="DM351:DM356" si="1551">(DL351*$E351*$F351*$G351*$N351*$DM$12)</f>
        <v>0</v>
      </c>
      <c r="DN351" s="182">
        <f>ROUND(15*0.75,0)</f>
        <v>11</v>
      </c>
      <c r="DO351" s="190">
        <f t="shared" ref="DO351:DO356" si="1552">(DN351*$E351*$F351*$G351*$O351*$DO$12)</f>
        <v>521241.97729999991</v>
      </c>
      <c r="DP351" s="187"/>
      <c r="DQ351" s="187"/>
      <c r="DR351" s="183">
        <f t="shared" si="1514"/>
        <v>1910</v>
      </c>
      <c r="DS351" s="183">
        <f t="shared" si="1514"/>
        <v>60663658.391797468</v>
      </c>
      <c r="DT351" s="182">
        <v>2030</v>
      </c>
      <c r="DU351" s="182">
        <v>63062847.672109991</v>
      </c>
      <c r="DV351" s="167">
        <f t="shared" si="1450"/>
        <v>-120</v>
      </c>
      <c r="DW351" s="167">
        <f t="shared" si="1450"/>
        <v>-2399189.2803125232</v>
      </c>
    </row>
    <row r="352" spans="1:127" ht="30" customHeight="1" x14ac:dyDescent="0.25">
      <c r="A352" s="154"/>
      <c r="B352" s="176">
        <v>306</v>
      </c>
      <c r="C352" s="177" t="s">
        <v>777</v>
      </c>
      <c r="D352" s="210" t="s">
        <v>778</v>
      </c>
      <c r="E352" s="158">
        <v>25969</v>
      </c>
      <c r="F352" s="179">
        <v>1.38</v>
      </c>
      <c r="G352" s="168">
        <v>1</v>
      </c>
      <c r="H352" s="169"/>
      <c r="I352" s="169"/>
      <c r="J352" s="169"/>
      <c r="K352" s="106"/>
      <c r="L352" s="180">
        <v>1.4</v>
      </c>
      <c r="M352" s="180">
        <v>1.68</v>
      </c>
      <c r="N352" s="180">
        <v>2.23</v>
      </c>
      <c r="O352" s="181">
        <v>2.57</v>
      </c>
      <c r="P352" s="244">
        <v>13</v>
      </c>
      <c r="Q352" s="182">
        <f t="shared" si="1516"/>
        <v>717461.14439999999</v>
      </c>
      <c r="R352" s="182"/>
      <c r="S352" s="182">
        <f t="shared" si="1517"/>
        <v>0</v>
      </c>
      <c r="T352" s="182">
        <v>7</v>
      </c>
      <c r="U352" s="182">
        <f t="shared" si="1518"/>
        <v>443396.00444999995</v>
      </c>
      <c r="V352" s="182"/>
      <c r="W352" s="183">
        <f t="shared" ref="W352:W356" si="1553">(V352*$E352*$F352*$G352*$L352*$W$12)/12*10+(V352*$E352*$F352*$G352*$L352*$W$13)/12*1++(V352*$E352*$F352*$G352*$L352*$W$14)/12*1</f>
        <v>0</v>
      </c>
      <c r="X352" s="183">
        <v>0</v>
      </c>
      <c r="Y352" s="183">
        <v>0</v>
      </c>
      <c r="Z352" s="183">
        <v>0</v>
      </c>
      <c r="AA352" s="183">
        <v>0</v>
      </c>
      <c r="AB352" s="182">
        <f t="shared" si="1519"/>
        <v>0</v>
      </c>
      <c r="AC352" s="182">
        <f t="shared" si="1519"/>
        <v>0</v>
      </c>
      <c r="AD352" s="182"/>
      <c r="AE352" s="182">
        <f t="shared" si="1520"/>
        <v>0</v>
      </c>
      <c r="AF352" s="182"/>
      <c r="AG352" s="182"/>
      <c r="AH352" s="182">
        <v>2</v>
      </c>
      <c r="AI352" s="182">
        <f t="shared" si="1521"/>
        <v>110378.63759999997</v>
      </c>
      <c r="AJ352" s="182"/>
      <c r="AK352" s="182"/>
      <c r="AL352" s="182"/>
      <c r="AM352" s="182"/>
      <c r="AN352" s="182">
        <v>1</v>
      </c>
      <c r="AO352" s="182">
        <f t="shared" ref="AO352:AO356" si="1554">(AN352*$E352*$F352*$G352*$L352*$AO$12)</f>
        <v>55189.318799999986</v>
      </c>
      <c r="AP352" s="182"/>
      <c r="AQ352" s="183">
        <f t="shared" si="1522"/>
        <v>0</v>
      </c>
      <c r="AR352" s="182"/>
      <c r="AS352" s="182">
        <f t="shared" si="1523"/>
        <v>0</v>
      </c>
      <c r="AT352" s="182">
        <f>12-2</f>
        <v>10</v>
      </c>
      <c r="AU352" s="182">
        <f t="shared" si="1524"/>
        <v>693819.74607775186</v>
      </c>
      <c r="AV352" s="186">
        <v>1</v>
      </c>
      <c r="AW352" s="182">
        <v>84289.14</v>
      </c>
      <c r="AX352" s="182"/>
      <c r="AY352" s="187">
        <f t="shared" si="1525"/>
        <v>0</v>
      </c>
      <c r="AZ352" s="182"/>
      <c r="BA352" s="182">
        <f t="shared" si="1526"/>
        <v>0</v>
      </c>
      <c r="BB352" s="182">
        <v>0</v>
      </c>
      <c r="BC352" s="182">
        <f t="shared" si="1527"/>
        <v>0</v>
      </c>
      <c r="BD352" s="182"/>
      <c r="BE352" s="182">
        <f t="shared" si="1528"/>
        <v>0</v>
      </c>
      <c r="BF352" s="182"/>
      <c r="BG352" s="182">
        <f t="shared" si="1529"/>
        <v>0</v>
      </c>
      <c r="BH352" s="182"/>
      <c r="BI352" s="183">
        <f t="shared" si="1530"/>
        <v>0</v>
      </c>
      <c r="BJ352" s="182"/>
      <c r="BK352" s="183">
        <f t="shared" si="1531"/>
        <v>0</v>
      </c>
      <c r="BL352" s="182"/>
      <c r="BM352" s="182">
        <f t="shared" ref="BM352:BM356" si="1555">(BL352*$E352*$F352*$G352*$L352*$BM$12)</f>
        <v>0</v>
      </c>
      <c r="BN352" s="182"/>
      <c r="BO352" s="182">
        <f t="shared" si="1533"/>
        <v>0</v>
      </c>
      <c r="BP352" s="182"/>
      <c r="BQ352" s="182">
        <f t="shared" si="1534"/>
        <v>0</v>
      </c>
      <c r="BR352" s="182"/>
      <c r="BS352" s="183">
        <f t="shared" si="1535"/>
        <v>0</v>
      </c>
      <c r="BT352" s="182"/>
      <c r="BU352" s="182">
        <f t="shared" ref="BU352:BU356" si="1556">(BT352*$E352*$F352*$G352*$M352*$BU$12)</f>
        <v>0</v>
      </c>
      <c r="BV352" s="182"/>
      <c r="BW352" s="182">
        <f t="shared" si="1537"/>
        <v>0</v>
      </c>
      <c r="BX352" s="182"/>
      <c r="BY352" s="183">
        <f t="shared" ref="BY352:BY356" si="1557">(BX352*$E352*$F352*$G352*$M352*$BY$12)</f>
        <v>0</v>
      </c>
      <c r="BZ352" s="182"/>
      <c r="CA352" s="187">
        <f t="shared" si="1539"/>
        <v>0</v>
      </c>
      <c r="CB352" s="182"/>
      <c r="CC352" s="182">
        <f t="shared" si="1540"/>
        <v>0</v>
      </c>
      <c r="CD352" s="182"/>
      <c r="CE352" s="182">
        <f t="shared" si="1541"/>
        <v>0</v>
      </c>
      <c r="CF352" s="182"/>
      <c r="CG352" s="182">
        <f t="shared" si="1542"/>
        <v>0</v>
      </c>
      <c r="CH352" s="182"/>
      <c r="CI352" s="182">
        <f t="shared" si="1543"/>
        <v>0</v>
      </c>
      <c r="CJ352" s="182"/>
      <c r="CK352" s="182"/>
      <c r="CL352" s="182"/>
      <c r="CM352" s="183">
        <f t="shared" si="1544"/>
        <v>0</v>
      </c>
      <c r="CN352" s="182"/>
      <c r="CO352" s="183">
        <f t="shared" si="1545"/>
        <v>0</v>
      </c>
      <c r="CP352" s="182"/>
      <c r="CQ352" s="182">
        <f t="shared" ref="CQ352:CQ356" si="1558">(CP352*$E352*$F352*$G352*$L352*$CQ$12)</f>
        <v>0</v>
      </c>
      <c r="CR352" s="182"/>
      <c r="CS352" s="182">
        <f t="shared" si="1546"/>
        <v>0</v>
      </c>
      <c r="CT352" s="182"/>
      <c r="CU352" s="182">
        <f t="shared" ref="CU352:CU356" si="1559">(CT352*$E352*$F352*$G352*$L352*$CU$12)</f>
        <v>0</v>
      </c>
      <c r="CV352" s="182"/>
      <c r="CW352" s="182">
        <v>0</v>
      </c>
      <c r="CX352" s="182"/>
      <c r="CY352" s="182">
        <f t="shared" ref="CY352:CY356" si="1560">(CX352*$E352*$F352*$G352*$M352*$CY$12)</f>
        <v>0</v>
      </c>
      <c r="CZ352" s="182"/>
      <c r="DA352" s="182">
        <v>0</v>
      </c>
      <c r="DB352" s="188"/>
      <c r="DC352" s="182">
        <f t="shared" si="1549"/>
        <v>0</v>
      </c>
      <c r="DD352" s="182"/>
      <c r="DE352" s="187"/>
      <c r="DF352" s="182"/>
      <c r="DG352" s="182">
        <f t="shared" si="1550"/>
        <v>0</v>
      </c>
      <c r="DH352" s="189"/>
      <c r="DI352" s="182">
        <f t="shared" ref="DI352:DI356" si="1561">(DH352*$E352*$F352*$G352*$M352*$DI$12)</f>
        <v>0</v>
      </c>
      <c r="DJ352" s="182"/>
      <c r="DK352" s="182">
        <f t="shared" ref="DK352:DK356" si="1562">(DJ352*$E352*$F352*$G352*$M352*$DK$12)</f>
        <v>0</v>
      </c>
      <c r="DL352" s="182"/>
      <c r="DM352" s="182">
        <f t="shared" si="1551"/>
        <v>0</v>
      </c>
      <c r="DN352" s="182"/>
      <c r="DO352" s="190">
        <f t="shared" si="1552"/>
        <v>0</v>
      </c>
      <c r="DP352" s="187"/>
      <c r="DQ352" s="187"/>
      <c r="DR352" s="183">
        <f t="shared" si="1514"/>
        <v>34</v>
      </c>
      <c r="DS352" s="183">
        <f t="shared" si="1514"/>
        <v>2104533.9913277519</v>
      </c>
      <c r="DT352" s="182">
        <v>35</v>
      </c>
      <c r="DU352" s="182">
        <v>2167936.7866799999</v>
      </c>
      <c r="DV352" s="167">
        <f t="shared" si="1450"/>
        <v>-1</v>
      </c>
      <c r="DW352" s="167">
        <f t="shared" si="1450"/>
        <v>-63402.795352248009</v>
      </c>
    </row>
    <row r="353" spans="1:127" ht="30" customHeight="1" x14ac:dyDescent="0.25">
      <c r="A353" s="154"/>
      <c r="B353" s="176">
        <v>307</v>
      </c>
      <c r="C353" s="177" t="s">
        <v>779</v>
      </c>
      <c r="D353" s="210" t="s">
        <v>780</v>
      </c>
      <c r="E353" s="158">
        <v>25969</v>
      </c>
      <c r="F353" s="179">
        <v>2.41</v>
      </c>
      <c r="G353" s="243">
        <v>0.9</v>
      </c>
      <c r="H353" s="242"/>
      <c r="I353" s="242"/>
      <c r="J353" s="242"/>
      <c r="K353" s="106"/>
      <c r="L353" s="180">
        <v>1.4</v>
      </c>
      <c r="M353" s="180">
        <v>1.68</v>
      </c>
      <c r="N353" s="180">
        <v>2.23</v>
      </c>
      <c r="O353" s="181">
        <v>2.57</v>
      </c>
      <c r="P353" s="244">
        <v>49</v>
      </c>
      <c r="Q353" s="182">
        <f t="shared" si="1516"/>
        <v>4250417.3850599993</v>
      </c>
      <c r="R353" s="182">
        <v>220</v>
      </c>
      <c r="S353" s="182">
        <f t="shared" si="1517"/>
        <v>19083506.626800001</v>
      </c>
      <c r="T353" s="182">
        <v>40</v>
      </c>
      <c r="U353" s="182">
        <f t="shared" si="1518"/>
        <v>3982302.0027000001</v>
      </c>
      <c r="V353" s="182"/>
      <c r="W353" s="183">
        <f t="shared" si="1553"/>
        <v>0</v>
      </c>
      <c r="X353" s="183">
        <v>2</v>
      </c>
      <c r="Y353" s="183">
        <v>220800.90311999994</v>
      </c>
      <c r="Z353" s="183">
        <v>0</v>
      </c>
      <c r="AA353" s="183">
        <v>0</v>
      </c>
      <c r="AB353" s="182">
        <f t="shared" si="1519"/>
        <v>2</v>
      </c>
      <c r="AC353" s="182">
        <f t="shared" si="1519"/>
        <v>220800.90311999994</v>
      </c>
      <c r="AD353" s="182"/>
      <c r="AE353" s="182">
        <f t="shared" si="1520"/>
        <v>0</v>
      </c>
      <c r="AF353" s="182"/>
      <c r="AG353" s="182"/>
      <c r="AH353" s="182"/>
      <c r="AI353" s="182">
        <f t="shared" si="1521"/>
        <v>0</v>
      </c>
      <c r="AJ353" s="182"/>
      <c r="AK353" s="182"/>
      <c r="AL353" s="182"/>
      <c r="AM353" s="182"/>
      <c r="AN353" s="182">
        <v>1</v>
      </c>
      <c r="AO353" s="182">
        <f t="shared" si="1554"/>
        <v>86743.211939999994</v>
      </c>
      <c r="AP353" s="182"/>
      <c r="AQ353" s="183">
        <f t="shared" si="1522"/>
        <v>0</v>
      </c>
      <c r="AR353" s="182"/>
      <c r="AS353" s="182">
        <f t="shared" si="1523"/>
        <v>0</v>
      </c>
      <c r="AT353" s="182">
        <f>9+1</f>
        <v>10</v>
      </c>
      <c r="AU353" s="182">
        <f t="shared" si="1524"/>
        <v>1090503.6443787275</v>
      </c>
      <c r="AV353" s="188">
        <v>1</v>
      </c>
      <c r="AW353" s="182">
        <v>132480.54</v>
      </c>
      <c r="AX353" s="182"/>
      <c r="AY353" s="187">
        <f t="shared" si="1525"/>
        <v>0</v>
      </c>
      <c r="AZ353" s="182"/>
      <c r="BA353" s="182">
        <f t="shared" si="1526"/>
        <v>0</v>
      </c>
      <c r="BB353" s="182"/>
      <c r="BC353" s="182">
        <f t="shared" si="1527"/>
        <v>0</v>
      </c>
      <c r="BD353" s="182"/>
      <c r="BE353" s="182">
        <f t="shared" si="1528"/>
        <v>0</v>
      </c>
      <c r="BF353" s="182"/>
      <c r="BG353" s="182">
        <f t="shared" si="1529"/>
        <v>0</v>
      </c>
      <c r="BH353" s="182"/>
      <c r="BI353" s="183">
        <f t="shared" si="1530"/>
        <v>0</v>
      </c>
      <c r="BJ353" s="182"/>
      <c r="BK353" s="183">
        <f t="shared" si="1531"/>
        <v>0</v>
      </c>
      <c r="BL353" s="182"/>
      <c r="BM353" s="182">
        <f t="shared" si="1555"/>
        <v>0</v>
      </c>
      <c r="BN353" s="182">
        <v>3</v>
      </c>
      <c r="BO353" s="182">
        <f t="shared" si="1533"/>
        <v>312275.56298400008</v>
      </c>
      <c r="BP353" s="182"/>
      <c r="BQ353" s="182">
        <f t="shared" si="1534"/>
        <v>0</v>
      </c>
      <c r="BR353" s="182"/>
      <c r="BS353" s="183">
        <f t="shared" si="1535"/>
        <v>0</v>
      </c>
      <c r="BT353" s="182"/>
      <c r="BU353" s="182">
        <f t="shared" si="1556"/>
        <v>0</v>
      </c>
      <c r="BV353" s="182"/>
      <c r="BW353" s="182">
        <f t="shared" si="1537"/>
        <v>0</v>
      </c>
      <c r="BX353" s="182"/>
      <c r="BY353" s="183">
        <f t="shared" si="1557"/>
        <v>0</v>
      </c>
      <c r="BZ353" s="182">
        <v>3</v>
      </c>
      <c r="CA353" s="187">
        <f t="shared" si="1539"/>
        <v>371018.85468442203</v>
      </c>
      <c r="CB353" s="182"/>
      <c r="CC353" s="182">
        <f t="shared" si="1540"/>
        <v>0</v>
      </c>
      <c r="CD353" s="182"/>
      <c r="CE353" s="182">
        <f t="shared" si="1541"/>
        <v>0</v>
      </c>
      <c r="CF353" s="182">
        <v>6</v>
      </c>
      <c r="CG353" s="182">
        <f t="shared" si="1542"/>
        <v>473144.79240000003</v>
      </c>
      <c r="CH353" s="182">
        <v>1</v>
      </c>
      <c r="CI353" s="182">
        <f t="shared" si="1543"/>
        <v>105457.82334365881</v>
      </c>
      <c r="CJ353" s="182"/>
      <c r="CK353" s="182"/>
      <c r="CL353" s="182"/>
      <c r="CM353" s="183">
        <f t="shared" si="1544"/>
        <v>0</v>
      </c>
      <c r="CN353" s="182"/>
      <c r="CO353" s="183">
        <f t="shared" si="1545"/>
        <v>0</v>
      </c>
      <c r="CP353" s="182"/>
      <c r="CQ353" s="182">
        <f t="shared" si="1558"/>
        <v>0</v>
      </c>
      <c r="CR353" s="182"/>
      <c r="CS353" s="182">
        <f t="shared" si="1546"/>
        <v>0</v>
      </c>
      <c r="CT353" s="182"/>
      <c r="CU353" s="182">
        <f t="shared" si="1559"/>
        <v>0</v>
      </c>
      <c r="CV353" s="182">
        <v>4</v>
      </c>
      <c r="CW353" s="182">
        <v>378515.84</v>
      </c>
      <c r="CX353" s="182"/>
      <c r="CY353" s="182">
        <f t="shared" si="1560"/>
        <v>0</v>
      </c>
      <c r="CZ353" s="182"/>
      <c r="DA353" s="182">
        <v>0</v>
      </c>
      <c r="DB353" s="188"/>
      <c r="DC353" s="182">
        <f t="shared" si="1549"/>
        <v>0</v>
      </c>
      <c r="DD353" s="182"/>
      <c r="DE353" s="187"/>
      <c r="DF353" s="182"/>
      <c r="DG353" s="182">
        <f t="shared" si="1550"/>
        <v>0</v>
      </c>
      <c r="DH353" s="189"/>
      <c r="DI353" s="182">
        <f t="shared" si="1561"/>
        <v>0</v>
      </c>
      <c r="DJ353" s="182"/>
      <c r="DK353" s="182">
        <f t="shared" si="1562"/>
        <v>0</v>
      </c>
      <c r="DL353" s="182"/>
      <c r="DM353" s="182">
        <f t="shared" si="1551"/>
        <v>0</v>
      </c>
      <c r="DN353" s="182"/>
      <c r="DO353" s="190">
        <f t="shared" si="1552"/>
        <v>0</v>
      </c>
      <c r="DP353" s="187"/>
      <c r="DQ353" s="187"/>
      <c r="DR353" s="183">
        <f t="shared" si="1514"/>
        <v>340</v>
      </c>
      <c r="DS353" s="183">
        <f t="shared" si="1514"/>
        <v>30487167.187410809</v>
      </c>
      <c r="DT353" s="182">
        <v>329</v>
      </c>
      <c r="DU353" s="182">
        <v>29380714.464812007</v>
      </c>
      <c r="DV353" s="167">
        <f t="shared" si="1450"/>
        <v>11</v>
      </c>
      <c r="DW353" s="167">
        <f t="shared" si="1450"/>
        <v>1106452.7225988023</v>
      </c>
    </row>
    <row r="354" spans="1:127" ht="30" customHeight="1" x14ac:dyDescent="0.25">
      <c r="A354" s="154"/>
      <c r="B354" s="176">
        <v>308</v>
      </c>
      <c r="C354" s="177" t="s">
        <v>781</v>
      </c>
      <c r="D354" s="210" t="s">
        <v>782</v>
      </c>
      <c r="E354" s="158">
        <v>25969</v>
      </c>
      <c r="F354" s="179">
        <v>1.43</v>
      </c>
      <c r="G354" s="168">
        <v>1</v>
      </c>
      <c r="H354" s="169"/>
      <c r="I354" s="169"/>
      <c r="J354" s="169"/>
      <c r="K354" s="106"/>
      <c r="L354" s="180">
        <v>1.4</v>
      </c>
      <c r="M354" s="180">
        <v>1.68</v>
      </c>
      <c r="N354" s="180">
        <v>2.23</v>
      </c>
      <c r="O354" s="181">
        <v>2.57</v>
      </c>
      <c r="P354" s="244">
        <v>4</v>
      </c>
      <c r="Q354" s="182">
        <f t="shared" si="1516"/>
        <v>228755.72719999999</v>
      </c>
      <c r="R354" s="182"/>
      <c r="S354" s="182">
        <f t="shared" si="1517"/>
        <v>0</v>
      </c>
      <c r="T354" s="182">
        <v>10</v>
      </c>
      <c r="U354" s="182">
        <f t="shared" si="1518"/>
        <v>656372.96724999999</v>
      </c>
      <c r="V354" s="182"/>
      <c r="W354" s="183">
        <f t="shared" si="1553"/>
        <v>0</v>
      </c>
      <c r="X354" s="183">
        <v>60</v>
      </c>
      <c r="Y354" s="183">
        <v>4367154.7919999985</v>
      </c>
      <c r="Z354" s="183">
        <v>2</v>
      </c>
      <c r="AA354" s="183">
        <v>174686.19167999999</v>
      </c>
      <c r="AB354" s="182">
        <f t="shared" si="1519"/>
        <v>62</v>
      </c>
      <c r="AC354" s="182">
        <f t="shared" si="1519"/>
        <v>4541840.9836799987</v>
      </c>
      <c r="AD354" s="182"/>
      <c r="AE354" s="182">
        <f t="shared" si="1520"/>
        <v>0</v>
      </c>
      <c r="AF354" s="182"/>
      <c r="AG354" s="182"/>
      <c r="AH354" s="182"/>
      <c r="AI354" s="182">
        <f t="shared" si="1521"/>
        <v>0</v>
      </c>
      <c r="AJ354" s="182"/>
      <c r="AK354" s="182"/>
      <c r="AL354" s="182"/>
      <c r="AM354" s="182"/>
      <c r="AN354" s="182">
        <v>1</v>
      </c>
      <c r="AO354" s="182">
        <f t="shared" si="1554"/>
        <v>57188.931799999998</v>
      </c>
      <c r="AP354" s="182"/>
      <c r="AQ354" s="183">
        <f t="shared" si="1522"/>
        <v>0</v>
      </c>
      <c r="AR354" s="182">
        <v>3</v>
      </c>
      <c r="AS354" s="182">
        <f t="shared" si="1523"/>
        <v>185211.55462810001</v>
      </c>
      <c r="AT354" s="182">
        <f>4-2</f>
        <v>2</v>
      </c>
      <c r="AU354" s="182">
        <f t="shared" si="1524"/>
        <v>143791.62853495439</v>
      </c>
      <c r="AV354" s="188">
        <v>19</v>
      </c>
      <c r="AW354" s="182">
        <v>1659518.9000000004</v>
      </c>
      <c r="AX354" s="182"/>
      <c r="AY354" s="187">
        <f t="shared" si="1525"/>
        <v>0</v>
      </c>
      <c r="AZ354" s="182"/>
      <c r="BA354" s="182">
        <f t="shared" si="1526"/>
        <v>0</v>
      </c>
      <c r="BB354" s="182">
        <v>0</v>
      </c>
      <c r="BC354" s="182">
        <f t="shared" si="1527"/>
        <v>0</v>
      </c>
      <c r="BD354" s="182"/>
      <c r="BE354" s="182">
        <f t="shared" si="1528"/>
        <v>0</v>
      </c>
      <c r="BF354" s="182"/>
      <c r="BG354" s="182">
        <f t="shared" si="1529"/>
        <v>0</v>
      </c>
      <c r="BH354" s="182"/>
      <c r="BI354" s="183">
        <f t="shared" si="1530"/>
        <v>0</v>
      </c>
      <c r="BJ354" s="182"/>
      <c r="BK354" s="183">
        <f t="shared" si="1531"/>
        <v>0</v>
      </c>
      <c r="BL354" s="182"/>
      <c r="BM354" s="182">
        <f t="shared" si="1555"/>
        <v>0</v>
      </c>
      <c r="BN354" s="182"/>
      <c r="BO354" s="182">
        <f t="shared" si="1533"/>
        <v>0</v>
      </c>
      <c r="BP354" s="182"/>
      <c r="BQ354" s="182">
        <f t="shared" si="1534"/>
        <v>0</v>
      </c>
      <c r="BR354" s="182"/>
      <c r="BS354" s="183">
        <f t="shared" si="1535"/>
        <v>0</v>
      </c>
      <c r="BT354" s="182"/>
      <c r="BU354" s="182">
        <f t="shared" si="1556"/>
        <v>0</v>
      </c>
      <c r="BV354" s="182"/>
      <c r="BW354" s="182">
        <f t="shared" si="1537"/>
        <v>0</v>
      </c>
      <c r="BX354" s="182"/>
      <c r="BY354" s="183">
        <f t="shared" si="1557"/>
        <v>0</v>
      </c>
      <c r="BZ354" s="182"/>
      <c r="CA354" s="187">
        <f t="shared" ref="CA354:CA356" si="1563">(BZ354*$E354*$F354*$G354*$M354*$CA$12)</f>
        <v>0</v>
      </c>
      <c r="CB354" s="182"/>
      <c r="CC354" s="182">
        <f t="shared" si="1540"/>
        <v>0</v>
      </c>
      <c r="CD354" s="182"/>
      <c r="CE354" s="182">
        <f t="shared" si="1541"/>
        <v>0</v>
      </c>
      <c r="CF354" s="182"/>
      <c r="CG354" s="182">
        <f t="shared" si="1542"/>
        <v>0</v>
      </c>
      <c r="CH354" s="182"/>
      <c r="CI354" s="182">
        <f t="shared" ref="CI354:CI356" si="1564">(CH354*$E354*$F354*$G354*$M354*$CI$12)</f>
        <v>0</v>
      </c>
      <c r="CJ354" s="182"/>
      <c r="CK354" s="182"/>
      <c r="CL354" s="182"/>
      <c r="CM354" s="183">
        <f t="shared" si="1544"/>
        <v>0</v>
      </c>
      <c r="CN354" s="182"/>
      <c r="CO354" s="183">
        <f t="shared" si="1545"/>
        <v>0</v>
      </c>
      <c r="CP354" s="182"/>
      <c r="CQ354" s="182">
        <f t="shared" si="1558"/>
        <v>0</v>
      </c>
      <c r="CR354" s="182">
        <v>2</v>
      </c>
      <c r="CS354" s="182">
        <f t="shared" si="1546"/>
        <v>124658.18064032665</v>
      </c>
      <c r="CT354" s="182"/>
      <c r="CU354" s="182">
        <f t="shared" si="1559"/>
        <v>0</v>
      </c>
      <c r="CV354" s="182"/>
      <c r="CW354" s="182">
        <v>0</v>
      </c>
      <c r="CX354" s="182"/>
      <c r="CY354" s="182">
        <f t="shared" si="1560"/>
        <v>0</v>
      </c>
      <c r="CZ354" s="182"/>
      <c r="DA354" s="182">
        <v>0</v>
      </c>
      <c r="DB354" s="188"/>
      <c r="DC354" s="182">
        <f t="shared" si="1549"/>
        <v>0</v>
      </c>
      <c r="DD354" s="182"/>
      <c r="DE354" s="187"/>
      <c r="DF354" s="182"/>
      <c r="DG354" s="182">
        <f t="shared" si="1550"/>
        <v>0</v>
      </c>
      <c r="DH354" s="189"/>
      <c r="DI354" s="182">
        <f t="shared" si="1561"/>
        <v>0</v>
      </c>
      <c r="DJ354" s="182"/>
      <c r="DK354" s="182">
        <f t="shared" si="1562"/>
        <v>0</v>
      </c>
      <c r="DL354" s="182"/>
      <c r="DM354" s="182">
        <f t="shared" si="1551"/>
        <v>0</v>
      </c>
      <c r="DN354" s="182"/>
      <c r="DO354" s="190">
        <f t="shared" si="1552"/>
        <v>0</v>
      </c>
      <c r="DP354" s="187"/>
      <c r="DQ354" s="187"/>
      <c r="DR354" s="183">
        <f t="shared" si="1514"/>
        <v>103</v>
      </c>
      <c r="DS354" s="183">
        <f t="shared" si="1514"/>
        <v>7597338.8737333808</v>
      </c>
      <c r="DT354" s="182">
        <v>102</v>
      </c>
      <c r="DU354" s="182">
        <v>7475719.8349166662</v>
      </c>
      <c r="DV354" s="167">
        <f t="shared" si="1450"/>
        <v>1</v>
      </c>
      <c r="DW354" s="167">
        <f t="shared" si="1450"/>
        <v>121619.03881671466</v>
      </c>
    </row>
    <row r="355" spans="1:127" ht="30" customHeight="1" x14ac:dyDescent="0.25">
      <c r="A355" s="154"/>
      <c r="B355" s="176">
        <v>309</v>
      </c>
      <c r="C355" s="177" t="s">
        <v>783</v>
      </c>
      <c r="D355" s="210" t="s">
        <v>784</v>
      </c>
      <c r="E355" s="158">
        <v>25969</v>
      </c>
      <c r="F355" s="179">
        <v>1.83</v>
      </c>
      <c r="G355" s="168">
        <v>1</v>
      </c>
      <c r="H355" s="169"/>
      <c r="I355" s="169"/>
      <c r="J355" s="169"/>
      <c r="K355" s="106"/>
      <c r="L355" s="180">
        <v>1.4</v>
      </c>
      <c r="M355" s="180">
        <v>1.68</v>
      </c>
      <c r="N355" s="180">
        <v>2.23</v>
      </c>
      <c r="O355" s="181">
        <v>2.57</v>
      </c>
      <c r="P355" s="244">
        <v>7</v>
      </c>
      <c r="Q355" s="182">
        <f t="shared" si="1516"/>
        <v>512300.85060000001</v>
      </c>
      <c r="R355" s="182">
        <v>3</v>
      </c>
      <c r="S355" s="182">
        <f t="shared" si="1517"/>
        <v>219557.5074</v>
      </c>
      <c r="T355" s="182">
        <v>3</v>
      </c>
      <c r="U355" s="182">
        <f t="shared" si="1518"/>
        <v>251992.13917500002</v>
      </c>
      <c r="V355" s="182"/>
      <c r="W355" s="183">
        <f t="shared" si="1553"/>
        <v>0</v>
      </c>
      <c r="X355" s="183">
        <v>5</v>
      </c>
      <c r="Y355" s="183">
        <v>465728.04599999997</v>
      </c>
      <c r="Z355" s="183"/>
      <c r="AA355" s="183">
        <v>0</v>
      </c>
      <c r="AB355" s="182">
        <f t="shared" si="1519"/>
        <v>5</v>
      </c>
      <c r="AC355" s="182">
        <f t="shared" si="1519"/>
        <v>465728.04599999997</v>
      </c>
      <c r="AD355" s="182"/>
      <c r="AE355" s="182">
        <f t="shared" si="1520"/>
        <v>0</v>
      </c>
      <c r="AF355" s="182"/>
      <c r="AG355" s="182"/>
      <c r="AH355" s="182">
        <v>2</v>
      </c>
      <c r="AI355" s="182">
        <f t="shared" si="1521"/>
        <v>146371.67160000003</v>
      </c>
      <c r="AJ355" s="182"/>
      <c r="AK355" s="182"/>
      <c r="AL355" s="182"/>
      <c r="AM355" s="182"/>
      <c r="AN355" s="184"/>
      <c r="AO355" s="182">
        <f t="shared" si="1554"/>
        <v>0</v>
      </c>
      <c r="AP355" s="182"/>
      <c r="AQ355" s="183">
        <f t="shared" si="1522"/>
        <v>0</v>
      </c>
      <c r="AR355" s="182">
        <v>2</v>
      </c>
      <c r="AS355" s="182">
        <f t="shared" si="1523"/>
        <v>158012.65499740004</v>
      </c>
      <c r="AT355" s="182">
        <v>11</v>
      </c>
      <c r="AU355" s="182">
        <f t="shared" si="1524"/>
        <v>1012071.8469960252</v>
      </c>
      <c r="AV355" s="188">
        <v>2</v>
      </c>
      <c r="AW355" s="182">
        <v>223549.46</v>
      </c>
      <c r="AX355" s="182"/>
      <c r="AY355" s="187">
        <f t="shared" si="1525"/>
        <v>0</v>
      </c>
      <c r="AZ355" s="182"/>
      <c r="BA355" s="182">
        <f t="shared" si="1526"/>
        <v>0</v>
      </c>
      <c r="BB355" s="182">
        <v>0</v>
      </c>
      <c r="BC355" s="182">
        <f t="shared" si="1527"/>
        <v>0</v>
      </c>
      <c r="BD355" s="182"/>
      <c r="BE355" s="182">
        <f t="shared" si="1528"/>
        <v>0</v>
      </c>
      <c r="BF355" s="182"/>
      <c r="BG355" s="182">
        <f t="shared" si="1529"/>
        <v>0</v>
      </c>
      <c r="BH355" s="182"/>
      <c r="BI355" s="183">
        <f t="shared" si="1530"/>
        <v>0</v>
      </c>
      <c r="BJ355" s="182"/>
      <c r="BK355" s="183">
        <f t="shared" si="1531"/>
        <v>0</v>
      </c>
      <c r="BL355" s="182"/>
      <c r="BM355" s="182">
        <f t="shared" si="1555"/>
        <v>0</v>
      </c>
      <c r="BN355" s="182">
        <v>1</v>
      </c>
      <c r="BO355" s="182">
        <f t="shared" si="1533"/>
        <v>87823.002960000013</v>
      </c>
      <c r="BP355" s="182"/>
      <c r="BQ355" s="182">
        <f t="shared" si="1534"/>
        <v>0</v>
      </c>
      <c r="BR355" s="182"/>
      <c r="BS355" s="183">
        <f t="shared" si="1535"/>
        <v>0</v>
      </c>
      <c r="BT355" s="182"/>
      <c r="BU355" s="182">
        <f t="shared" si="1556"/>
        <v>0</v>
      </c>
      <c r="BV355" s="182"/>
      <c r="BW355" s="182">
        <f t="shared" si="1537"/>
        <v>0</v>
      </c>
      <c r="BX355" s="182"/>
      <c r="BY355" s="183">
        <f t="shared" si="1557"/>
        <v>0</v>
      </c>
      <c r="BZ355" s="182"/>
      <c r="CA355" s="187">
        <f t="shared" si="1563"/>
        <v>0</v>
      </c>
      <c r="CB355" s="182"/>
      <c r="CC355" s="182">
        <f t="shared" si="1540"/>
        <v>0</v>
      </c>
      <c r="CD355" s="182"/>
      <c r="CE355" s="182">
        <f t="shared" si="1541"/>
        <v>0</v>
      </c>
      <c r="CF355" s="182"/>
      <c r="CG355" s="182">
        <f t="shared" si="1542"/>
        <v>0</v>
      </c>
      <c r="CH355" s="182"/>
      <c r="CI355" s="182">
        <f t="shared" si="1564"/>
        <v>0</v>
      </c>
      <c r="CJ355" s="182"/>
      <c r="CK355" s="182"/>
      <c r="CL355" s="182"/>
      <c r="CM355" s="183">
        <f t="shared" si="1544"/>
        <v>0</v>
      </c>
      <c r="CN355" s="182"/>
      <c r="CO355" s="183">
        <f t="shared" si="1545"/>
        <v>0</v>
      </c>
      <c r="CP355" s="182"/>
      <c r="CQ355" s="182">
        <f t="shared" si="1558"/>
        <v>0</v>
      </c>
      <c r="CR355" s="182"/>
      <c r="CS355" s="182">
        <f t="shared" ref="CS355:CS356" si="1565">(CR355*$E355*$F355*$G355*$L355*$CS$12)</f>
        <v>0</v>
      </c>
      <c r="CT355" s="182">
        <v>3</v>
      </c>
      <c r="CU355" s="182">
        <f t="shared" ref="CU355" si="1566">(CT355*$E355*$F355*$G355*$L355*$CU$12)/12*11+(CT355*$E355*$F355*$G355*$L355*$CU$12*$CU$15)/12</f>
        <v>209535.70517585997</v>
      </c>
      <c r="CV355" s="182">
        <v>1</v>
      </c>
      <c r="CW355" s="182">
        <v>79839.09</v>
      </c>
      <c r="CX355" s="182"/>
      <c r="CY355" s="182">
        <f t="shared" si="1560"/>
        <v>0</v>
      </c>
      <c r="CZ355" s="182"/>
      <c r="DA355" s="182">
        <v>0</v>
      </c>
      <c r="DB355" s="188"/>
      <c r="DC355" s="182">
        <f t="shared" si="1549"/>
        <v>0</v>
      </c>
      <c r="DD355" s="182"/>
      <c r="DE355" s="187"/>
      <c r="DF355" s="182"/>
      <c r="DG355" s="182">
        <f t="shared" si="1550"/>
        <v>0</v>
      </c>
      <c r="DH355" s="189"/>
      <c r="DI355" s="182">
        <f t="shared" si="1561"/>
        <v>0</v>
      </c>
      <c r="DJ355" s="182"/>
      <c r="DK355" s="182">
        <f t="shared" si="1562"/>
        <v>0</v>
      </c>
      <c r="DL355" s="182"/>
      <c r="DM355" s="182">
        <f t="shared" si="1551"/>
        <v>0</v>
      </c>
      <c r="DN355" s="182"/>
      <c r="DO355" s="190">
        <f t="shared" si="1552"/>
        <v>0</v>
      </c>
      <c r="DP355" s="187"/>
      <c r="DQ355" s="187"/>
      <c r="DR355" s="183">
        <f t="shared" si="1514"/>
        <v>40</v>
      </c>
      <c r="DS355" s="183">
        <f t="shared" si="1514"/>
        <v>3366781.9749042853</v>
      </c>
      <c r="DT355" s="182">
        <v>40</v>
      </c>
      <c r="DU355" s="182">
        <v>3213745.2890600003</v>
      </c>
      <c r="DV355" s="167">
        <f t="shared" si="1450"/>
        <v>0</v>
      </c>
      <c r="DW355" s="167">
        <f t="shared" si="1450"/>
        <v>153036.68584428495</v>
      </c>
    </row>
    <row r="356" spans="1:127" ht="30" customHeight="1" x14ac:dyDescent="0.25">
      <c r="A356" s="154"/>
      <c r="B356" s="176">
        <v>310</v>
      </c>
      <c r="C356" s="177" t="s">
        <v>785</v>
      </c>
      <c r="D356" s="210" t="s">
        <v>786</v>
      </c>
      <c r="E356" s="158">
        <v>25969</v>
      </c>
      <c r="F356" s="179">
        <v>2.16</v>
      </c>
      <c r="G356" s="168">
        <v>1</v>
      </c>
      <c r="H356" s="169"/>
      <c r="I356" s="169"/>
      <c r="J356" s="169"/>
      <c r="K356" s="106"/>
      <c r="L356" s="180">
        <v>1.4</v>
      </c>
      <c r="M356" s="180">
        <v>1.68</v>
      </c>
      <c r="N356" s="180">
        <v>2.23</v>
      </c>
      <c r="O356" s="181">
        <v>2.57</v>
      </c>
      <c r="P356" s="244">
        <v>4</v>
      </c>
      <c r="Q356" s="182">
        <f t="shared" si="1516"/>
        <v>345533.12640000001</v>
      </c>
      <c r="R356" s="182"/>
      <c r="S356" s="182">
        <f t="shared" si="1517"/>
        <v>0</v>
      </c>
      <c r="T356" s="182"/>
      <c r="U356" s="182">
        <f t="shared" si="1518"/>
        <v>0</v>
      </c>
      <c r="V356" s="182"/>
      <c r="W356" s="183">
        <f t="shared" si="1553"/>
        <v>0</v>
      </c>
      <c r="X356" s="183">
        <v>0</v>
      </c>
      <c r="Y356" s="183">
        <v>0</v>
      </c>
      <c r="Z356" s="183"/>
      <c r="AA356" s="183">
        <v>0</v>
      </c>
      <c r="AB356" s="182">
        <f t="shared" si="1519"/>
        <v>0</v>
      </c>
      <c r="AC356" s="182">
        <f t="shared" si="1519"/>
        <v>0</v>
      </c>
      <c r="AD356" s="182"/>
      <c r="AE356" s="182">
        <f t="shared" si="1520"/>
        <v>0</v>
      </c>
      <c r="AF356" s="182"/>
      <c r="AG356" s="182"/>
      <c r="AH356" s="182"/>
      <c r="AI356" s="182">
        <f t="shared" si="1521"/>
        <v>0</v>
      </c>
      <c r="AJ356" s="182"/>
      <c r="AK356" s="182"/>
      <c r="AL356" s="182"/>
      <c r="AM356" s="182"/>
      <c r="AN356" s="184"/>
      <c r="AO356" s="182">
        <f t="shared" si="1554"/>
        <v>0</v>
      </c>
      <c r="AP356" s="182"/>
      <c r="AQ356" s="183">
        <f t="shared" si="1522"/>
        <v>0</v>
      </c>
      <c r="AR356" s="182"/>
      <c r="AS356" s="182">
        <f t="shared" ref="AS356" si="1567">(AR356*$E356*$F356*$G356*$L356*$AS$12)/12*10+(AR356*$E356*$F356*$G356*$L356*$AS$13)/12*1+(AR356*$E356*$F356*$G356*$L356*$AS$14)/12*1</f>
        <v>0</v>
      </c>
      <c r="AT356" s="182"/>
      <c r="AU356" s="182">
        <f t="shared" ref="AU356" si="1568">(AT356*$E356*$F356*$G356*$M356*$AU$12)</f>
        <v>0</v>
      </c>
      <c r="AV356" s="188">
        <v>0</v>
      </c>
      <c r="AW356" s="182">
        <v>0</v>
      </c>
      <c r="AX356" s="182"/>
      <c r="AY356" s="187">
        <f t="shared" si="1525"/>
        <v>0</v>
      </c>
      <c r="AZ356" s="182"/>
      <c r="BA356" s="182">
        <f t="shared" si="1526"/>
        <v>0</v>
      </c>
      <c r="BB356" s="182">
        <v>0</v>
      </c>
      <c r="BC356" s="182">
        <f t="shared" si="1527"/>
        <v>0</v>
      </c>
      <c r="BD356" s="182"/>
      <c r="BE356" s="182">
        <f t="shared" si="1528"/>
        <v>0</v>
      </c>
      <c r="BF356" s="182"/>
      <c r="BG356" s="182">
        <f t="shared" si="1529"/>
        <v>0</v>
      </c>
      <c r="BH356" s="182"/>
      <c r="BI356" s="183">
        <f t="shared" si="1530"/>
        <v>0</v>
      </c>
      <c r="BJ356" s="182"/>
      <c r="BK356" s="183">
        <f t="shared" si="1531"/>
        <v>0</v>
      </c>
      <c r="BL356" s="182"/>
      <c r="BM356" s="182">
        <f t="shared" si="1555"/>
        <v>0</v>
      </c>
      <c r="BN356" s="182"/>
      <c r="BO356" s="182">
        <f t="shared" si="1533"/>
        <v>0</v>
      </c>
      <c r="BP356" s="182"/>
      <c r="BQ356" s="182">
        <f t="shared" si="1534"/>
        <v>0</v>
      </c>
      <c r="BR356" s="182"/>
      <c r="BS356" s="183">
        <f t="shared" si="1535"/>
        <v>0</v>
      </c>
      <c r="BT356" s="182"/>
      <c r="BU356" s="182">
        <f t="shared" si="1556"/>
        <v>0</v>
      </c>
      <c r="BV356" s="182"/>
      <c r="BW356" s="182">
        <f t="shared" si="1537"/>
        <v>0</v>
      </c>
      <c r="BX356" s="182"/>
      <c r="BY356" s="183">
        <f t="shared" si="1557"/>
        <v>0</v>
      </c>
      <c r="BZ356" s="182"/>
      <c r="CA356" s="187">
        <f t="shared" si="1563"/>
        <v>0</v>
      </c>
      <c r="CB356" s="182"/>
      <c r="CC356" s="182">
        <f t="shared" si="1540"/>
        <v>0</v>
      </c>
      <c r="CD356" s="182"/>
      <c r="CE356" s="182">
        <f t="shared" si="1541"/>
        <v>0</v>
      </c>
      <c r="CF356" s="182"/>
      <c r="CG356" s="182">
        <f t="shared" si="1542"/>
        <v>0</v>
      </c>
      <c r="CH356" s="182"/>
      <c r="CI356" s="182">
        <f t="shared" si="1564"/>
        <v>0</v>
      </c>
      <c r="CJ356" s="182"/>
      <c r="CK356" s="182"/>
      <c r="CL356" s="182"/>
      <c r="CM356" s="183">
        <f t="shared" si="1544"/>
        <v>0</v>
      </c>
      <c r="CN356" s="182"/>
      <c r="CO356" s="183">
        <f t="shared" si="1545"/>
        <v>0</v>
      </c>
      <c r="CP356" s="182"/>
      <c r="CQ356" s="182">
        <f t="shared" si="1558"/>
        <v>0</v>
      </c>
      <c r="CR356" s="182"/>
      <c r="CS356" s="182">
        <f t="shared" si="1565"/>
        <v>0</v>
      </c>
      <c r="CT356" s="182"/>
      <c r="CU356" s="182">
        <f t="shared" si="1559"/>
        <v>0</v>
      </c>
      <c r="CV356" s="182"/>
      <c r="CW356" s="182">
        <v>0</v>
      </c>
      <c r="CX356" s="182"/>
      <c r="CY356" s="182">
        <f t="shared" si="1560"/>
        <v>0</v>
      </c>
      <c r="CZ356" s="182"/>
      <c r="DA356" s="182">
        <v>0</v>
      </c>
      <c r="DB356" s="188"/>
      <c r="DC356" s="182">
        <f t="shared" si="1549"/>
        <v>0</v>
      </c>
      <c r="DD356" s="182"/>
      <c r="DE356" s="187"/>
      <c r="DF356" s="182"/>
      <c r="DG356" s="182">
        <f t="shared" si="1550"/>
        <v>0</v>
      </c>
      <c r="DH356" s="189"/>
      <c r="DI356" s="182">
        <f t="shared" si="1561"/>
        <v>0</v>
      </c>
      <c r="DJ356" s="182"/>
      <c r="DK356" s="182">
        <f t="shared" si="1562"/>
        <v>0</v>
      </c>
      <c r="DL356" s="182"/>
      <c r="DM356" s="182">
        <f t="shared" si="1551"/>
        <v>0</v>
      </c>
      <c r="DN356" s="182"/>
      <c r="DO356" s="190">
        <f t="shared" si="1552"/>
        <v>0</v>
      </c>
      <c r="DP356" s="187"/>
      <c r="DQ356" s="187"/>
      <c r="DR356" s="183">
        <f t="shared" si="1514"/>
        <v>4</v>
      </c>
      <c r="DS356" s="183">
        <f t="shared" si="1514"/>
        <v>345533.12640000001</v>
      </c>
      <c r="DT356" s="182">
        <v>4</v>
      </c>
      <c r="DU356" s="182">
        <v>345533.12640000001</v>
      </c>
      <c r="DV356" s="167">
        <f t="shared" si="1450"/>
        <v>0</v>
      </c>
      <c r="DW356" s="167">
        <f t="shared" si="1450"/>
        <v>0</v>
      </c>
    </row>
    <row r="357" spans="1:127" ht="30" customHeight="1" x14ac:dyDescent="0.25">
      <c r="A357" s="154"/>
      <c r="B357" s="176">
        <v>311</v>
      </c>
      <c r="C357" s="177" t="s">
        <v>787</v>
      </c>
      <c r="D357" s="210" t="s">
        <v>788</v>
      </c>
      <c r="E357" s="158">
        <v>25969</v>
      </c>
      <c r="F357" s="179">
        <v>1.81</v>
      </c>
      <c r="G357" s="168">
        <v>1</v>
      </c>
      <c r="H357" s="169"/>
      <c r="I357" s="169"/>
      <c r="J357" s="169"/>
      <c r="K357" s="106"/>
      <c r="L357" s="180">
        <v>1.4</v>
      </c>
      <c r="M357" s="180">
        <v>1.68</v>
      </c>
      <c r="N357" s="180">
        <v>2.23</v>
      </c>
      <c r="O357" s="181">
        <v>2.57</v>
      </c>
      <c r="P357" s="244">
        <v>80</v>
      </c>
      <c r="Q357" s="182">
        <f t="shared" ref="Q357:Q358" si="1569">(P357*$E357*$F357*$G357*$L357)</f>
        <v>5264435.68</v>
      </c>
      <c r="R357" s="182">
        <v>3</v>
      </c>
      <c r="S357" s="187">
        <f t="shared" ref="S357:S358" si="1570">(R357*$E357*$F357*$G357*$L357)</f>
        <v>197416.33800000002</v>
      </c>
      <c r="T357" s="182">
        <v>7</v>
      </c>
      <c r="U357" s="182">
        <f t="shared" ref="U357:U358" si="1571">(T357*$E357*$F357*$G357*$L357)</f>
        <v>460638.12199999992</v>
      </c>
      <c r="V357" s="182"/>
      <c r="W357" s="182">
        <f t="shared" ref="W357:W358" si="1572">(V357*$E357*$F357*$G357*$L357)</f>
        <v>0</v>
      </c>
      <c r="X357" s="182">
        <v>43</v>
      </c>
      <c r="Y357" s="182">
        <v>2829634.1779999998</v>
      </c>
      <c r="Z357" s="182">
        <v>3</v>
      </c>
      <c r="AA357" s="182">
        <v>236899.60560000001</v>
      </c>
      <c r="AB357" s="182">
        <f t="shared" si="1519"/>
        <v>46</v>
      </c>
      <c r="AC357" s="182">
        <f t="shared" si="1519"/>
        <v>3066533.7835999997</v>
      </c>
      <c r="AD357" s="182"/>
      <c r="AE357" s="182">
        <f t="shared" ref="AE357:AE358" si="1573">(AD357*$E357*$F357*$G357*$L357)</f>
        <v>0</v>
      </c>
      <c r="AF357" s="182"/>
      <c r="AG357" s="182"/>
      <c r="AH357" s="182"/>
      <c r="AI357" s="182">
        <f t="shared" ref="AI357:AI358" si="1574">(AH357*$E357*$F357*$G357*$L357)</f>
        <v>0</v>
      </c>
      <c r="AJ357" s="182"/>
      <c r="AK357" s="182"/>
      <c r="AL357" s="182"/>
      <c r="AM357" s="182"/>
      <c r="AN357" s="184"/>
      <c r="AO357" s="182">
        <f t="shared" ref="AO357:AO358" si="1575">(AN357*$E357*$F357*$G357*$L357)</f>
        <v>0</v>
      </c>
      <c r="AP357" s="182">
        <v>3</v>
      </c>
      <c r="AQ357" s="182">
        <f t="shared" ref="AQ357:AQ358" si="1576">(AP357*$E357*$F357*$G357*$L357)</f>
        <v>197416.33800000002</v>
      </c>
      <c r="AR357" s="182">
        <v>12</v>
      </c>
      <c r="AS357" s="182">
        <f t="shared" ref="AS357:AS358" si="1577">(AR357*$E357*$F357*$G357*$L357)</f>
        <v>789665.35200000007</v>
      </c>
      <c r="AT357" s="182">
        <f>60-10-10</f>
        <v>40</v>
      </c>
      <c r="AU357" s="183">
        <f t="shared" ref="AU357:AU358" si="1578">(AT357*$E357*$F357*$G357*$M357)</f>
        <v>3158661.4079999998</v>
      </c>
      <c r="AV357" s="188">
        <v>25</v>
      </c>
      <c r="AW357" s="182">
        <v>1974163.5000000005</v>
      </c>
      <c r="AX357" s="182">
        <v>11</v>
      </c>
      <c r="AY357" s="187">
        <f t="shared" ref="AY357:AY358" si="1579">(AX357*$E357*$F357*$G357*$M357)</f>
        <v>868631.8872</v>
      </c>
      <c r="AZ357" s="182"/>
      <c r="BA357" s="182">
        <f>(AZ357*$E357*$F357*$G357*$L357*$AO$12)</f>
        <v>0</v>
      </c>
      <c r="BB357" s="182">
        <v>0</v>
      </c>
      <c r="BC357" s="182">
        <f t="shared" ref="BC357:BC358" si="1580">(BB357*$E357*$F357*$G357*$L357*BC$12)</f>
        <v>0</v>
      </c>
      <c r="BD357" s="182"/>
      <c r="BE357" s="182">
        <f>(BD357*$E357*$F357*$G357*$L357*BE$12)</f>
        <v>0</v>
      </c>
      <c r="BF357" s="182"/>
      <c r="BG357" s="182">
        <f t="shared" ref="BG357:BG358" si="1581">(BF357*$E357*$F357*$G357*$L357)</f>
        <v>0</v>
      </c>
      <c r="BH357" s="182"/>
      <c r="BI357" s="182">
        <f t="shared" ref="BI357:BI358" si="1582">(BH357*$E357*$F357*$G357*$L357)</f>
        <v>0</v>
      </c>
      <c r="BJ357" s="182"/>
      <c r="BK357" s="182"/>
      <c r="BL357" s="182"/>
      <c r="BM357" s="182">
        <f t="shared" ref="BM357:BM358" si="1583">(BL357*$E357*$F357*$G357*$L357)</f>
        <v>0</v>
      </c>
      <c r="BN357" s="182"/>
      <c r="BO357" s="182">
        <f t="shared" ref="BO357:BO358" si="1584">(BN357*$E357*$F357*$G357*$M357)</f>
        <v>0</v>
      </c>
      <c r="BP357" s="182"/>
      <c r="BQ357" s="182">
        <f t="shared" ref="BQ357:BQ358" si="1585">(BP357*$E357*$F357*$G357*$M357)</f>
        <v>0</v>
      </c>
      <c r="BR357" s="182"/>
      <c r="BS357" s="182">
        <f t="shared" ref="BS357:BS358" si="1586">(BR357*$E357*$F357*$G357*$M357)</f>
        <v>0</v>
      </c>
      <c r="BT357" s="182"/>
      <c r="BU357" s="182">
        <f t="shared" ref="BU357:BU358" si="1587">(BT357*$E357*$F357*$G357*$M357)</f>
        <v>0</v>
      </c>
      <c r="BV357" s="182"/>
      <c r="BW357" s="182">
        <f t="shared" ref="BW357:BW358" si="1588">(BV357*$E357*$F357*$G357*$M357)</f>
        <v>0</v>
      </c>
      <c r="BX357" s="182"/>
      <c r="BY357" s="182">
        <f t="shared" ref="BY357:BY358" si="1589">(BX357*$E357*$F357*$G357*$M357)</f>
        <v>0</v>
      </c>
      <c r="BZ357" s="182"/>
      <c r="CA357" s="187">
        <f t="shared" ref="CA357:CA358" si="1590">(BZ357*$E357*$F357*$G357*$M357)</f>
        <v>0</v>
      </c>
      <c r="CB357" s="182"/>
      <c r="CC357" s="182">
        <f t="shared" ref="CC357:CC358" si="1591">(CB357*$E357*$F357*$G357*$L357)</f>
        <v>0</v>
      </c>
      <c r="CD357" s="182"/>
      <c r="CE357" s="183">
        <f t="shared" ref="CE357:CE358" si="1592">(CD357*$E357*$F357*$G357*$L357)</f>
        <v>0</v>
      </c>
      <c r="CF357" s="182"/>
      <c r="CG357" s="182">
        <f t="shared" ref="CG357:CG358" si="1593">(CF357*$E357*$F357*$G357*$L357)</f>
        <v>0</v>
      </c>
      <c r="CH357" s="182"/>
      <c r="CI357" s="182">
        <f t="shared" ref="CI357:CI358" si="1594">(CH357*$E357*$F357*$G357*$M357)</f>
        <v>0</v>
      </c>
      <c r="CJ357" s="182"/>
      <c r="CK357" s="182"/>
      <c r="CL357" s="182"/>
      <c r="CM357" s="182">
        <f t="shared" ref="CM357:CM358" si="1595">(CL357*$E357*$F357*$G357*$L357)</f>
        <v>0</v>
      </c>
      <c r="CN357" s="182"/>
      <c r="CO357" s="182">
        <f t="shared" ref="CO357:CO358" si="1596">(CN357*$E357*$F357*$G357*$L357)</f>
        <v>0</v>
      </c>
      <c r="CP357" s="182"/>
      <c r="CQ357" s="182">
        <f t="shared" ref="CQ357:CQ358" si="1597">(CP357*$E357*$F357*$G357*$L357)</f>
        <v>0</v>
      </c>
      <c r="CR357" s="182"/>
      <c r="CS357" s="182">
        <f t="shared" ref="CS357:CS358" si="1598">(CR357*$E357*$F357*$G357*$L357)</f>
        <v>0</v>
      </c>
      <c r="CT357" s="182"/>
      <c r="CU357" s="182">
        <f t="shared" ref="CU357:CU358" si="1599">(CT357*$E357*$F357*$G357*$L357)</f>
        <v>0</v>
      </c>
      <c r="CV357" s="182">
        <v>2</v>
      </c>
      <c r="CW357" s="182">
        <v>157933.07999999999</v>
      </c>
      <c r="CX357" s="182"/>
      <c r="CY357" s="182">
        <f t="shared" ref="CY357:CY358" si="1600">(CX357*$E357*$F357*$G357*$M357)</f>
        <v>0</v>
      </c>
      <c r="CZ357" s="182"/>
      <c r="DA357" s="182">
        <v>0</v>
      </c>
      <c r="DB357" s="188"/>
      <c r="DC357" s="182">
        <f t="shared" ref="DC357:DC358" si="1601">(DB357*$E357*$F357*$G357*$M357)</f>
        <v>0</v>
      </c>
      <c r="DD357" s="182"/>
      <c r="DE357" s="187">
        <f t="shared" ref="DE357:DE358" si="1602">(DD357*$E357*$F357*$G357*$M357)</f>
        <v>0</v>
      </c>
      <c r="DF357" s="182"/>
      <c r="DG357" s="182"/>
      <c r="DH357" s="189"/>
      <c r="DI357" s="182">
        <f t="shared" ref="DI357:DI358" si="1603">(DH357*$E357*$F357*$G357*$M357)</f>
        <v>0</v>
      </c>
      <c r="DJ357" s="182"/>
      <c r="DK357" s="182">
        <f t="shared" ref="DK357:DK358" si="1604">(DJ357*$E357*$F357*$G357*$M357)</f>
        <v>0</v>
      </c>
      <c r="DL357" s="182"/>
      <c r="DM357" s="182">
        <f t="shared" ref="DM357:DM358" si="1605">(DL357*$E357*$F357*$G357*$N357)</f>
        <v>0</v>
      </c>
      <c r="DN357" s="182"/>
      <c r="DO357" s="187">
        <f t="shared" ref="DO357:DO358" si="1606">(DN357*$E357*$F357*$G357*$O357)</f>
        <v>0</v>
      </c>
      <c r="DP357" s="187"/>
      <c r="DQ357" s="187"/>
      <c r="DR357" s="183">
        <f t="shared" si="1514"/>
        <v>229</v>
      </c>
      <c r="DS357" s="183">
        <f t="shared" si="1514"/>
        <v>16135495.488799999</v>
      </c>
      <c r="DT357" s="182">
        <v>236</v>
      </c>
      <c r="DU357" s="182">
        <v>16701422.204399999</v>
      </c>
      <c r="DV357" s="167">
        <f t="shared" si="1450"/>
        <v>-7</v>
      </c>
      <c r="DW357" s="167">
        <f t="shared" si="1450"/>
        <v>-565926.71560000069</v>
      </c>
    </row>
    <row r="358" spans="1:127" ht="30" customHeight="1" x14ac:dyDescent="0.25">
      <c r="A358" s="154"/>
      <c r="B358" s="176">
        <v>312</v>
      </c>
      <c r="C358" s="177" t="s">
        <v>789</v>
      </c>
      <c r="D358" s="210" t="s">
        <v>790</v>
      </c>
      <c r="E358" s="158">
        <v>25969</v>
      </c>
      <c r="F358" s="179">
        <v>2.67</v>
      </c>
      <c r="G358" s="168">
        <v>1</v>
      </c>
      <c r="H358" s="169"/>
      <c r="I358" s="169"/>
      <c r="J358" s="169"/>
      <c r="K358" s="106"/>
      <c r="L358" s="180">
        <v>1.4</v>
      </c>
      <c r="M358" s="180">
        <v>1.68</v>
      </c>
      <c r="N358" s="180">
        <v>2.23</v>
      </c>
      <c r="O358" s="181">
        <v>2.57</v>
      </c>
      <c r="P358" s="244">
        <v>3</v>
      </c>
      <c r="Q358" s="182">
        <f t="shared" si="1569"/>
        <v>291216.36599999998</v>
      </c>
      <c r="R358" s="182"/>
      <c r="S358" s="187">
        <f t="shared" si="1570"/>
        <v>0</v>
      </c>
      <c r="T358" s="182">
        <v>1</v>
      </c>
      <c r="U358" s="182">
        <f t="shared" si="1571"/>
        <v>97072.121999999988</v>
      </c>
      <c r="V358" s="182"/>
      <c r="W358" s="182">
        <f t="shared" si="1572"/>
        <v>0</v>
      </c>
      <c r="X358" s="182">
        <v>9</v>
      </c>
      <c r="Y358" s="182">
        <v>873649.09799999988</v>
      </c>
      <c r="Z358" s="182"/>
      <c r="AA358" s="182">
        <v>0</v>
      </c>
      <c r="AB358" s="182">
        <f t="shared" si="1519"/>
        <v>9</v>
      </c>
      <c r="AC358" s="182">
        <f t="shared" si="1519"/>
        <v>873649.09799999988</v>
      </c>
      <c r="AD358" s="182"/>
      <c r="AE358" s="182">
        <f t="shared" si="1573"/>
        <v>0</v>
      </c>
      <c r="AF358" s="182"/>
      <c r="AG358" s="182"/>
      <c r="AH358" s="182"/>
      <c r="AI358" s="182">
        <f t="shared" si="1574"/>
        <v>0</v>
      </c>
      <c r="AJ358" s="182"/>
      <c r="AK358" s="182"/>
      <c r="AL358" s="182"/>
      <c r="AM358" s="182"/>
      <c r="AN358" s="184"/>
      <c r="AO358" s="182">
        <f t="shared" si="1575"/>
        <v>0</v>
      </c>
      <c r="AP358" s="182"/>
      <c r="AQ358" s="182">
        <f t="shared" si="1576"/>
        <v>0</v>
      </c>
      <c r="AR358" s="182"/>
      <c r="AS358" s="182">
        <f t="shared" si="1577"/>
        <v>0</v>
      </c>
      <c r="AT358" s="182"/>
      <c r="AU358" s="183">
        <f t="shared" si="1578"/>
        <v>0</v>
      </c>
      <c r="AV358" s="188">
        <v>1</v>
      </c>
      <c r="AW358" s="182">
        <v>116486.55</v>
      </c>
      <c r="AX358" s="182"/>
      <c r="AY358" s="187">
        <f t="shared" si="1579"/>
        <v>0</v>
      </c>
      <c r="AZ358" s="182"/>
      <c r="BA358" s="182">
        <f>(AZ358*$E358*$F358*$G358*$L358*$AO$12)</f>
        <v>0</v>
      </c>
      <c r="BB358" s="182">
        <v>0</v>
      </c>
      <c r="BC358" s="182">
        <f t="shared" si="1580"/>
        <v>0</v>
      </c>
      <c r="BD358" s="182"/>
      <c r="BE358" s="182">
        <f>(BD358*$E358*$F358*$G358*$L358*BE$12)</f>
        <v>0</v>
      </c>
      <c r="BF358" s="182"/>
      <c r="BG358" s="182">
        <f t="shared" si="1581"/>
        <v>0</v>
      </c>
      <c r="BH358" s="182"/>
      <c r="BI358" s="182">
        <f t="shared" si="1582"/>
        <v>0</v>
      </c>
      <c r="BJ358" s="182"/>
      <c r="BK358" s="182"/>
      <c r="BL358" s="182"/>
      <c r="BM358" s="182">
        <f t="shared" si="1583"/>
        <v>0</v>
      </c>
      <c r="BN358" s="182"/>
      <c r="BO358" s="182">
        <f t="shared" si="1584"/>
        <v>0</v>
      </c>
      <c r="BP358" s="182"/>
      <c r="BQ358" s="182">
        <f t="shared" si="1585"/>
        <v>0</v>
      </c>
      <c r="BR358" s="182"/>
      <c r="BS358" s="182">
        <f t="shared" si="1586"/>
        <v>0</v>
      </c>
      <c r="BT358" s="182"/>
      <c r="BU358" s="182">
        <f t="shared" si="1587"/>
        <v>0</v>
      </c>
      <c r="BV358" s="182"/>
      <c r="BW358" s="182">
        <f t="shared" si="1588"/>
        <v>0</v>
      </c>
      <c r="BX358" s="182"/>
      <c r="BY358" s="182">
        <f t="shared" si="1589"/>
        <v>0</v>
      </c>
      <c r="BZ358" s="182"/>
      <c r="CA358" s="187">
        <f t="shared" si="1590"/>
        <v>0</v>
      </c>
      <c r="CB358" s="182"/>
      <c r="CC358" s="182">
        <f t="shared" si="1591"/>
        <v>0</v>
      </c>
      <c r="CD358" s="182"/>
      <c r="CE358" s="183">
        <f t="shared" si="1592"/>
        <v>0</v>
      </c>
      <c r="CF358" s="182"/>
      <c r="CG358" s="182">
        <f t="shared" si="1593"/>
        <v>0</v>
      </c>
      <c r="CH358" s="182"/>
      <c r="CI358" s="182">
        <f t="shared" si="1594"/>
        <v>0</v>
      </c>
      <c r="CJ358" s="182"/>
      <c r="CK358" s="182"/>
      <c r="CL358" s="182"/>
      <c r="CM358" s="182">
        <f t="shared" si="1595"/>
        <v>0</v>
      </c>
      <c r="CN358" s="182"/>
      <c r="CO358" s="182">
        <f t="shared" si="1596"/>
        <v>0</v>
      </c>
      <c r="CP358" s="182"/>
      <c r="CQ358" s="182">
        <f t="shared" si="1597"/>
        <v>0</v>
      </c>
      <c r="CR358" s="182"/>
      <c r="CS358" s="182">
        <f t="shared" si="1598"/>
        <v>0</v>
      </c>
      <c r="CT358" s="182"/>
      <c r="CU358" s="182">
        <f t="shared" si="1599"/>
        <v>0</v>
      </c>
      <c r="CV358" s="182"/>
      <c r="CW358" s="182">
        <v>0</v>
      </c>
      <c r="CX358" s="182"/>
      <c r="CY358" s="182">
        <f t="shared" si="1600"/>
        <v>0</v>
      </c>
      <c r="CZ358" s="182"/>
      <c r="DA358" s="182">
        <v>0</v>
      </c>
      <c r="DB358" s="188"/>
      <c r="DC358" s="182">
        <f t="shared" si="1601"/>
        <v>0</v>
      </c>
      <c r="DD358" s="182"/>
      <c r="DE358" s="187">
        <f t="shared" si="1602"/>
        <v>0</v>
      </c>
      <c r="DF358" s="182"/>
      <c r="DG358" s="182"/>
      <c r="DH358" s="189"/>
      <c r="DI358" s="182">
        <f t="shared" si="1603"/>
        <v>0</v>
      </c>
      <c r="DJ358" s="182"/>
      <c r="DK358" s="182">
        <f t="shared" si="1604"/>
        <v>0</v>
      </c>
      <c r="DL358" s="182"/>
      <c r="DM358" s="182">
        <f t="shared" si="1605"/>
        <v>0</v>
      </c>
      <c r="DN358" s="182"/>
      <c r="DO358" s="187">
        <f t="shared" si="1606"/>
        <v>0</v>
      </c>
      <c r="DP358" s="187"/>
      <c r="DQ358" s="187"/>
      <c r="DR358" s="183">
        <f t="shared" si="1514"/>
        <v>14</v>
      </c>
      <c r="DS358" s="183">
        <f t="shared" si="1514"/>
        <v>1378424.1359999999</v>
      </c>
      <c r="DT358" s="182">
        <v>13</v>
      </c>
      <c r="DU358" s="182">
        <v>1261937.5859999999</v>
      </c>
      <c r="DV358" s="167">
        <f t="shared" si="1450"/>
        <v>1</v>
      </c>
      <c r="DW358" s="167">
        <f t="shared" si="1450"/>
        <v>116486.55000000005</v>
      </c>
    </row>
    <row r="359" spans="1:127" ht="45" customHeight="1" x14ac:dyDescent="0.25">
      <c r="A359" s="154"/>
      <c r="B359" s="176">
        <v>313</v>
      </c>
      <c r="C359" s="177" t="s">
        <v>791</v>
      </c>
      <c r="D359" s="210" t="s">
        <v>792</v>
      </c>
      <c r="E359" s="158">
        <v>25969</v>
      </c>
      <c r="F359" s="179">
        <v>0.73</v>
      </c>
      <c r="G359" s="168">
        <v>1</v>
      </c>
      <c r="H359" s="169"/>
      <c r="I359" s="169"/>
      <c r="J359" s="169"/>
      <c r="K359" s="106"/>
      <c r="L359" s="180">
        <v>1.4</v>
      </c>
      <c r="M359" s="180">
        <v>1.68</v>
      </c>
      <c r="N359" s="180">
        <v>2.23</v>
      </c>
      <c r="O359" s="181">
        <v>2.57</v>
      </c>
      <c r="P359" s="244">
        <v>3</v>
      </c>
      <c r="Q359" s="182">
        <f>(P359*$E359*$F359*$G359*$L359*$Q$12)</f>
        <v>87583.049400000004</v>
      </c>
      <c r="R359" s="182"/>
      <c r="S359" s="182">
        <f>(R359*$E359*$F359*$G359*$L359*$S$12)</f>
        <v>0</v>
      </c>
      <c r="T359" s="182">
        <v>3</v>
      </c>
      <c r="U359" s="182">
        <f t="shared" ref="U359" si="1607">(T359/12*11*$E359*$F359*$G359*$L359*$U$12)+(T359/12*1*$E359*$F359*$G359*$L359*$U$14)</f>
        <v>100521.45442499999</v>
      </c>
      <c r="V359" s="182"/>
      <c r="W359" s="183">
        <f>(V359*$E359*$F359*$G359*$L359*$W$12)/12*10+(V359*$E359*$F359*$G359*$L359*$W$13)/12*1++(V359*$E359*$F359*$G359*$L359*$W$14)/12*1</f>
        <v>0</v>
      </c>
      <c r="X359" s="183"/>
      <c r="Y359" s="183">
        <v>0</v>
      </c>
      <c r="Z359" s="183"/>
      <c r="AA359" s="183">
        <v>0</v>
      </c>
      <c r="AB359" s="182">
        <f>X359+Z359</f>
        <v>0</v>
      </c>
      <c r="AC359" s="182">
        <f>Y359+AA359</f>
        <v>0</v>
      </c>
      <c r="AD359" s="182"/>
      <c r="AE359" s="182">
        <f>(AD359*$E359*$F359*$G359*$L359*$AE$12)</f>
        <v>0</v>
      </c>
      <c r="AF359" s="182"/>
      <c r="AG359" s="182"/>
      <c r="AH359" s="182">
        <v>3</v>
      </c>
      <c r="AI359" s="182">
        <f>(AH359*$E359*$F359*$G359*$L359*$AI$12)</f>
        <v>87583.049400000004</v>
      </c>
      <c r="AJ359" s="182"/>
      <c r="AK359" s="182"/>
      <c r="AL359" s="182"/>
      <c r="AM359" s="182"/>
      <c r="AN359" s="184"/>
      <c r="AO359" s="182">
        <f>(AN359*$E359*$F359*$G359*$L359*$AO$12)</f>
        <v>0</v>
      </c>
      <c r="AP359" s="182">
        <v>12</v>
      </c>
      <c r="AQ359" s="183">
        <f>(AP359*$E359*$F359*$G359*$L359*$AQ$12)</f>
        <v>350332.19760000001</v>
      </c>
      <c r="AR359" s="182">
        <v>12</v>
      </c>
      <c r="AS359" s="182">
        <f>(AR359*$E359*$F359*$G359*$L359*$AS$12)/12*10+(AR359*$E359*$F359*$G359*$L359*$AS$13)/12*1+(AR359*$E359*$F359*$L359*$G359*$AS$14*$AS$15)/12*1</f>
        <v>378194.22343640006</v>
      </c>
      <c r="AT359" s="182">
        <f>13+10</f>
        <v>23</v>
      </c>
      <c r="AU359" s="182">
        <f>(AT359*$E359*$F359*$G359*$M359*$AU$12)/12*10+(AT359*$E359*$F359*$G359*$M359*$AU$13)/12+(AT359*$E359*$F359*$G359*$M359*$AU$14*$AU$15)/12</f>
        <v>844147.3577279317</v>
      </c>
      <c r="AV359" s="186">
        <v>1</v>
      </c>
      <c r="AW359" s="182">
        <v>44587.73</v>
      </c>
      <c r="AX359" s="182">
        <v>1</v>
      </c>
      <c r="AY359" s="187">
        <f>(AX359*$E359*$F359*$G359*$M359*$AY$12)</f>
        <v>35033.21976</v>
      </c>
      <c r="AZ359" s="182"/>
      <c r="BA359" s="182">
        <f>(AZ359*$E359*$F359*$G359*$L359*$BA$12)</f>
        <v>0</v>
      </c>
      <c r="BB359" s="182"/>
      <c r="BC359" s="182">
        <f>(BB359*$E359*$F359*$G359*$L359*$BC$12)</f>
        <v>0</v>
      </c>
      <c r="BD359" s="182"/>
      <c r="BE359" s="182">
        <f>(BD359*$E359*$F359*$G359*$L359*$BE$12)</f>
        <v>0</v>
      </c>
      <c r="BF359" s="182"/>
      <c r="BG359" s="182">
        <f>(BF359*$E359*$F359*$G359*$L359*$BG$12)</f>
        <v>0</v>
      </c>
      <c r="BH359" s="182"/>
      <c r="BI359" s="183">
        <f>(BH359*$E359*$F359*$G359*$L359*$BI$12)</f>
        <v>0</v>
      </c>
      <c r="BJ359" s="182"/>
      <c r="BK359" s="183">
        <f>(BJ359*$E359*$F359*$G359*$L359*$BK$12)</f>
        <v>0</v>
      </c>
      <c r="BL359" s="182"/>
      <c r="BM359" s="182">
        <f>(BL359*$E359*$F359*$G359*$L359*$BM$12)</f>
        <v>0</v>
      </c>
      <c r="BN359" s="182">
        <v>5</v>
      </c>
      <c r="BO359" s="182">
        <f>(BN359*$E359*$F359*$G359*$M359*$BO$12)</f>
        <v>175166.09879999998</v>
      </c>
      <c r="BP359" s="182"/>
      <c r="BQ359" s="182">
        <f>(BP359*$E359*$F359*$G359*$M359*$BQ$12)</f>
        <v>0</v>
      </c>
      <c r="BR359" s="182"/>
      <c r="BS359" s="183">
        <f>(BR359*$E359*$F359*$G359*$M359*$BS$12)</f>
        <v>0</v>
      </c>
      <c r="BT359" s="182"/>
      <c r="BU359" s="182">
        <f>(BT359*$E359*$F359*$G359*$M359*$BU$12)</f>
        <v>0</v>
      </c>
      <c r="BV359" s="182"/>
      <c r="BW359" s="182">
        <f>(BV359*$E359*$F359*$G359*$M359*$BW$12)</f>
        <v>0</v>
      </c>
      <c r="BX359" s="182">
        <v>3</v>
      </c>
      <c r="BY359" s="183">
        <f t="shared" ref="BY359" si="1608">(BX359*$E359*$F359*$G359*$M359*$BY$12)/12*11+(BX359*$E359*$F359*$G359*$M359*$BY$12*$BY$15)/12</f>
        <v>128859.825888864</v>
      </c>
      <c r="BZ359" s="182">
        <v>2</v>
      </c>
      <c r="CA359" s="187">
        <f t="shared" ref="CA359" si="1609">(BZ359*$E359*$F359*$G359*$M359*$CA$12)/12*11+(BZ359*$E359*$F359*$G359*$M359*$CA$12*$CA$15)/12</f>
        <v>83246.892245159979</v>
      </c>
      <c r="CB359" s="182"/>
      <c r="CC359" s="182">
        <f>(CB359*$E359*$F359*$G359*$L359*$CC$12)</f>
        <v>0</v>
      </c>
      <c r="CD359" s="182"/>
      <c r="CE359" s="182">
        <f>(CD359*$E359*$F359*$G359*$L359*$CE$12)</f>
        <v>0</v>
      </c>
      <c r="CF359" s="182"/>
      <c r="CG359" s="182">
        <f>(CF359*$E359*$F359*$G359*$L359*$CG$12)</f>
        <v>0</v>
      </c>
      <c r="CH359" s="182">
        <v>1</v>
      </c>
      <c r="CI359" s="182">
        <f t="shared" ref="CI359" si="1610">(CH359*$E359*$F359*$G359*$M359*$CI$12)/12*11+(CH359*$E359*$F359*$G359*$M359*$CI$12*$CI$15)/12</f>
        <v>35492.951148395994</v>
      </c>
      <c r="CJ359" s="182"/>
      <c r="CK359" s="182"/>
      <c r="CL359" s="182"/>
      <c r="CM359" s="183">
        <f>(CL359*$E359*$F359*$G359*$L359*$CM$12)</f>
        <v>0</v>
      </c>
      <c r="CN359" s="182">
        <v>20</v>
      </c>
      <c r="CO359" s="183">
        <f>(CN359*$E359*$F359*$G359*$L359*$CO$12)</f>
        <v>424645.08799999993</v>
      </c>
      <c r="CP359" s="182"/>
      <c r="CQ359" s="182">
        <f>(CP359*$E359*$F359*$G359*$L359*$CQ$12)</f>
        <v>0</v>
      </c>
      <c r="CR359" s="182">
        <v>2</v>
      </c>
      <c r="CS359" s="182">
        <f t="shared" ref="CS359" si="1611">(CR359*$E359*$F359*$G359*$L359*$CS$12)/12*10+(CR359*$E359*$F359*$G359*$L359*$CS$13)/12+(CR359*$E359*$F359*$G359*$L359*$CS$13*$CS$15)/12</f>
        <v>63636.693613593328</v>
      </c>
      <c r="CT359" s="182">
        <v>1</v>
      </c>
      <c r="CU359" s="182">
        <f t="shared" ref="CU359" si="1612">(CT359*$E359*$F359*$G359*$L359*$CU$12)/12*11+(CT359*$E359*$F359*$G359*$L359*$CU$12*$CU$15)/12</f>
        <v>27861.760433219999</v>
      </c>
      <c r="CV359" s="182">
        <v>5</v>
      </c>
      <c r="CW359" s="182">
        <v>159241.9</v>
      </c>
      <c r="CX359" s="182"/>
      <c r="CY359" s="182">
        <f>(CX359*$E359*$F359*$G359*$M359*$CY$12)</f>
        <v>0</v>
      </c>
      <c r="CZ359" s="182"/>
      <c r="DA359" s="182">
        <v>0</v>
      </c>
      <c r="DB359" s="188"/>
      <c r="DC359" s="182">
        <f>(DB359*$E359*$F359*$G359*$M359*$DC$12)</f>
        <v>0</v>
      </c>
      <c r="DD359" s="182"/>
      <c r="DE359" s="187"/>
      <c r="DF359" s="182"/>
      <c r="DG359" s="182">
        <f>(DF359*$E359*$F359*$G359*$M359*$DG$12)</f>
        <v>0</v>
      </c>
      <c r="DH359" s="189">
        <f>ROUND(2*0.75,0)</f>
        <v>2</v>
      </c>
      <c r="DI359" s="182">
        <f>(DH359*$E359*$F359*$G359*$M359*$DI$12)</f>
        <v>63696.763199999994</v>
      </c>
      <c r="DJ359" s="182"/>
      <c r="DK359" s="182">
        <f>(DJ359*$E359*$F359*$G359*$M359*$DK$12)</f>
        <v>0</v>
      </c>
      <c r="DL359" s="182"/>
      <c r="DM359" s="182">
        <f>(DL359*$E359*$F359*$G359*$N359*$DM$12)</f>
        <v>0</v>
      </c>
      <c r="DN359" s="182">
        <f>ROUND(1*0.75,0)</f>
        <v>1</v>
      </c>
      <c r="DO359" s="190">
        <f>(DN359*$E359*$F359*$G359*$O359*$DO$12)</f>
        <v>48720.440899999994</v>
      </c>
      <c r="DP359" s="187"/>
      <c r="DQ359" s="187"/>
      <c r="DR359" s="183">
        <f t="shared" si="1514"/>
        <v>100</v>
      </c>
      <c r="DS359" s="183">
        <f t="shared" si="1514"/>
        <v>3138550.6959785647</v>
      </c>
      <c r="DT359" s="182">
        <v>99</v>
      </c>
      <c r="DU359" s="182">
        <v>3023536.2097933334</v>
      </c>
      <c r="DV359" s="167">
        <f t="shared" si="1450"/>
        <v>1</v>
      </c>
      <c r="DW359" s="167">
        <f t="shared" si="1450"/>
        <v>115014.48618523125</v>
      </c>
    </row>
    <row r="360" spans="1:127" ht="31.5" customHeight="1" x14ac:dyDescent="0.25">
      <c r="A360" s="154"/>
      <c r="B360" s="176">
        <v>314</v>
      </c>
      <c r="C360" s="177" t="s">
        <v>793</v>
      </c>
      <c r="D360" s="210" t="s">
        <v>794</v>
      </c>
      <c r="E360" s="158">
        <v>25969</v>
      </c>
      <c r="F360" s="179">
        <v>0.76</v>
      </c>
      <c r="G360" s="168">
        <v>1</v>
      </c>
      <c r="H360" s="169"/>
      <c r="I360" s="169"/>
      <c r="J360" s="169"/>
      <c r="K360" s="106"/>
      <c r="L360" s="180">
        <v>1.4</v>
      </c>
      <c r="M360" s="180">
        <v>1.68</v>
      </c>
      <c r="N360" s="180">
        <v>2.23</v>
      </c>
      <c r="O360" s="181">
        <v>2.57</v>
      </c>
      <c r="P360" s="244">
        <v>106</v>
      </c>
      <c r="Q360" s="182">
        <f>(P360*$E360*$F360*$G360*$L360)</f>
        <v>2928887.696</v>
      </c>
      <c r="R360" s="182">
        <v>95</v>
      </c>
      <c r="S360" s="187">
        <f>(R360*$E360*$F360*$G360*$L360)</f>
        <v>2624946.52</v>
      </c>
      <c r="T360" s="182">
        <v>180</v>
      </c>
      <c r="U360" s="182">
        <f>(T360*$E360*$F360*$G360*$L360)</f>
        <v>4973582.88</v>
      </c>
      <c r="V360" s="182"/>
      <c r="W360" s="182">
        <f>(V360*$E360*$F360*$G360*$L360)</f>
        <v>0</v>
      </c>
      <c r="X360" s="182"/>
      <c r="Y360" s="182">
        <v>0</v>
      </c>
      <c r="Z360" s="182"/>
      <c r="AA360" s="182">
        <v>0</v>
      </c>
      <c r="AB360" s="182">
        <f>X360+Z360</f>
        <v>0</v>
      </c>
      <c r="AC360" s="182">
        <f>Y360+AA360</f>
        <v>0</v>
      </c>
      <c r="AD360" s="182"/>
      <c r="AE360" s="182">
        <f>(AD360*$E360*$F360*$G360*$L360)</f>
        <v>0</v>
      </c>
      <c r="AF360" s="182"/>
      <c r="AG360" s="182"/>
      <c r="AH360" s="182">
        <v>20</v>
      </c>
      <c r="AI360" s="182">
        <f>(AH360*$E360*$F360*$G360*$L360)</f>
        <v>552620.31999999995</v>
      </c>
      <c r="AJ360" s="182"/>
      <c r="AK360" s="182"/>
      <c r="AL360" s="182"/>
      <c r="AM360" s="182"/>
      <c r="AN360" s="182">
        <v>2</v>
      </c>
      <c r="AO360" s="182">
        <f>(AN360*$E360*$F360*$G360*$L360)</f>
        <v>55262.031999999992</v>
      </c>
      <c r="AP360" s="182">
        <v>83</v>
      </c>
      <c r="AQ360" s="182">
        <f>(AP360*$E360*$F360*$G360*$L360)</f>
        <v>2293374.3279999997</v>
      </c>
      <c r="AR360" s="182">
        <v>56</v>
      </c>
      <c r="AS360" s="182">
        <f>(AR360*$E360*$F360*$G360*$L360)</f>
        <v>1547336.8959999997</v>
      </c>
      <c r="AT360" s="182">
        <v>319</v>
      </c>
      <c r="AU360" s="183">
        <f>(AT360*$E360*$F360*$G360*$M360)</f>
        <v>10577152.924800001</v>
      </c>
      <c r="AV360" s="188">
        <v>0</v>
      </c>
      <c r="AW360" s="182">
        <v>0</v>
      </c>
      <c r="AX360" s="182">
        <v>15</v>
      </c>
      <c r="AY360" s="187">
        <f>(AX360*$E360*$F360*$G360*$M360)</f>
        <v>497358.28799999994</v>
      </c>
      <c r="AZ360" s="182"/>
      <c r="BA360" s="182">
        <f>(AZ360*$E360*$F360*$G360*$L360*$AO$12)</f>
        <v>0</v>
      </c>
      <c r="BB360" s="182">
        <v>0</v>
      </c>
      <c r="BC360" s="182">
        <f>(BB360*$E360*$F360*$G360*$L360*BC$12)</f>
        <v>0</v>
      </c>
      <c r="BD360" s="182"/>
      <c r="BE360" s="182">
        <f>(BD360*$E360*$F360*$G360*$L360*BE$12)</f>
        <v>0</v>
      </c>
      <c r="BF360" s="182"/>
      <c r="BG360" s="182">
        <f>(BF360*$E360*$F360*$G360*$L360)</f>
        <v>0</v>
      </c>
      <c r="BH360" s="182"/>
      <c r="BI360" s="182">
        <f t="shared" ref="BI360" si="1613">(BH360*$E360*$F360*$G360*$L360)</f>
        <v>0</v>
      </c>
      <c r="BJ360" s="182"/>
      <c r="BK360" s="182"/>
      <c r="BL360" s="182">
        <v>50</v>
      </c>
      <c r="BM360" s="182">
        <f>(BL360*$E360*$F360*$G360*$L360)</f>
        <v>1381550.7999999998</v>
      </c>
      <c r="BN360" s="182">
        <v>123</v>
      </c>
      <c r="BO360" s="182">
        <f>(BN360*$E360*$F360*$G360*$M360)</f>
        <v>4078337.9616</v>
      </c>
      <c r="BP360" s="182">
        <v>5</v>
      </c>
      <c r="BQ360" s="182">
        <f>(BP360*$E360*$F360*$G360*$M360)</f>
        <v>165786.09599999999</v>
      </c>
      <c r="BR360" s="182"/>
      <c r="BS360" s="182">
        <f>(BR360*$E360*$F360*$G360*$M360)</f>
        <v>0</v>
      </c>
      <c r="BT360" s="182">
        <v>24</v>
      </c>
      <c r="BU360" s="182">
        <f>(BT360*$E360*$F360*$G360*$M360)</f>
        <v>795773.26079999993</v>
      </c>
      <c r="BV360" s="182"/>
      <c r="BW360" s="182">
        <f>(BV360*$E360*$F360*$G360*$M360)</f>
        <v>0</v>
      </c>
      <c r="BX360" s="182">
        <v>20</v>
      </c>
      <c r="BY360" s="182">
        <f>(BX360*$E360*$F360*$G360*$M360)</f>
        <v>663144.38399999996</v>
      </c>
      <c r="BZ360" s="182">
        <v>52</v>
      </c>
      <c r="CA360" s="187">
        <f>(BZ360*$E360*$F360*$G360*$M360)</f>
        <v>1724175.3983999998</v>
      </c>
      <c r="CB360" s="182"/>
      <c r="CC360" s="182">
        <f>(CB360*$E360*$F360*$G360*$L360)</f>
        <v>0</v>
      </c>
      <c r="CD360" s="182"/>
      <c r="CE360" s="183">
        <f>(CD360*$E360*$F360*$G360*$L360)</f>
        <v>0</v>
      </c>
      <c r="CF360" s="182"/>
      <c r="CG360" s="182">
        <f>(CF360*$E360*$F360*$G360*$L360)</f>
        <v>0</v>
      </c>
      <c r="CH360" s="182">
        <v>50</v>
      </c>
      <c r="CI360" s="182">
        <f>(CH360*$E360*$F360*$G360*$M360)</f>
        <v>1657860.96</v>
      </c>
      <c r="CJ360" s="182"/>
      <c r="CK360" s="182"/>
      <c r="CL360" s="182">
        <v>37</v>
      </c>
      <c r="CM360" s="182">
        <f>(CL360*$E360*$F360*$G360*$L360)</f>
        <v>1022347.5919999999</v>
      </c>
      <c r="CN360" s="182">
        <v>150</v>
      </c>
      <c r="CO360" s="182">
        <f>(CN360*$E360*$F360*$G360*$L360)</f>
        <v>4144652.4</v>
      </c>
      <c r="CP360" s="182">
        <v>64</v>
      </c>
      <c r="CQ360" s="182">
        <f>(CP360*$E360*$F360*$G360*$L360)</f>
        <v>1768385.0239999997</v>
      </c>
      <c r="CR360" s="182">
        <v>45</v>
      </c>
      <c r="CS360" s="182">
        <f>(CR360*$E360*$F360*$G360*$L360)</f>
        <v>1243395.72</v>
      </c>
      <c r="CT360" s="182">
        <v>60</v>
      </c>
      <c r="CU360" s="182">
        <f>(CT360*$E360*$F360*$G360*$L360)</f>
        <v>1657860.9599999997</v>
      </c>
      <c r="CV360" s="182">
        <v>235</v>
      </c>
      <c r="CW360" s="182">
        <v>7729995.0599999828</v>
      </c>
      <c r="CX360" s="182">
        <v>50</v>
      </c>
      <c r="CY360" s="182">
        <f>(CX360*$E360*$F360*$G360*$M360)</f>
        <v>1657860.96</v>
      </c>
      <c r="CZ360" s="182"/>
      <c r="DA360" s="182">
        <v>0</v>
      </c>
      <c r="DB360" s="188">
        <v>10</v>
      </c>
      <c r="DC360" s="182">
        <f>(DB360*$E360*$F360*$G360*$M360)</f>
        <v>331572.19199999998</v>
      </c>
      <c r="DD360" s="182"/>
      <c r="DE360" s="187">
        <f>(DD360*$E360*$F360*$G360*$M360)</f>
        <v>0</v>
      </c>
      <c r="DF360" s="182"/>
      <c r="DG360" s="182"/>
      <c r="DH360" s="189">
        <f>ROUND(10*0.75,0)</f>
        <v>8</v>
      </c>
      <c r="DI360" s="182">
        <f>(DH360*$E360*$F360*$G360*$M360)</f>
        <v>265257.7536</v>
      </c>
      <c r="DJ360" s="182">
        <v>100</v>
      </c>
      <c r="DK360" s="182">
        <f>(DJ360*$E360*$F360*$G360*$M360)</f>
        <v>3315721.92</v>
      </c>
      <c r="DL360" s="182">
        <f>ROUND(17*0.75,0)</f>
        <v>13</v>
      </c>
      <c r="DM360" s="182">
        <f>(DL360*$E360*$F360*$G360*$N360)</f>
        <v>572159.39560000005</v>
      </c>
      <c r="DN360" s="182">
        <f>ROUND(30*0.75,0)</f>
        <v>23</v>
      </c>
      <c r="DO360" s="187">
        <f>(DN360*$E360*$F360*$G360*$O360)</f>
        <v>1166620.9683999999</v>
      </c>
      <c r="DP360" s="187"/>
      <c r="DQ360" s="187"/>
      <c r="DR360" s="183">
        <f t="shared" si="1514"/>
        <v>1995</v>
      </c>
      <c r="DS360" s="183">
        <f t="shared" si="1514"/>
        <v>61392980.691199988</v>
      </c>
      <c r="DT360" s="182">
        <v>2000</v>
      </c>
      <c r="DU360" s="182">
        <v>61531135.771199986</v>
      </c>
      <c r="DV360" s="167">
        <f t="shared" si="1450"/>
        <v>-5</v>
      </c>
      <c r="DW360" s="167">
        <f t="shared" si="1450"/>
        <v>-138155.07999999821</v>
      </c>
    </row>
    <row r="361" spans="1:127" ht="22.5" customHeight="1" x14ac:dyDescent="0.25">
      <c r="A361" s="154"/>
      <c r="B361" s="176">
        <v>315</v>
      </c>
      <c r="C361" s="177" t="s">
        <v>795</v>
      </c>
      <c r="D361" s="210" t="s">
        <v>796</v>
      </c>
      <c r="E361" s="158">
        <v>25969</v>
      </c>
      <c r="F361" s="179">
        <v>2.42</v>
      </c>
      <c r="G361" s="168">
        <v>1</v>
      </c>
      <c r="H361" s="169"/>
      <c r="I361" s="169"/>
      <c r="J361" s="169"/>
      <c r="K361" s="106"/>
      <c r="L361" s="180">
        <v>1.4</v>
      </c>
      <c r="M361" s="180">
        <v>1.68</v>
      </c>
      <c r="N361" s="180">
        <v>2.23</v>
      </c>
      <c r="O361" s="181">
        <v>2.57</v>
      </c>
      <c r="P361" s="244">
        <v>12</v>
      </c>
      <c r="Q361" s="182">
        <f>(P361*$E361*$F361*$G361*$L361*$Q$12)</f>
        <v>1161375.2304</v>
      </c>
      <c r="R361" s="182">
        <v>7</v>
      </c>
      <c r="S361" s="182">
        <f>(R361*$E361*$F361*$G361*$L361*$S$12)</f>
        <v>677468.88439999998</v>
      </c>
      <c r="T361" s="182">
        <v>10</v>
      </c>
      <c r="U361" s="182">
        <f t="shared" ref="U361:U365" si="1614">(T361/12*11*$E361*$F361*$G361*$L361*$U$12)+(T361/12*1*$E361*$F361*$G361*$L361*$U$14)</f>
        <v>1110785.0215</v>
      </c>
      <c r="V361" s="182"/>
      <c r="W361" s="183">
        <f t="shared" ref="W361:W364" si="1615">(V361*$E361*$F361*$G361*$L361*$W$12)/12*10+(V361*$E361*$F361*$G361*$L361*$W$13)/12*1++(V361*$E361*$F361*$G361*$L361*$W$14)/12*1</f>
        <v>0</v>
      </c>
      <c r="X361" s="183"/>
      <c r="Y361" s="183">
        <v>0</v>
      </c>
      <c r="Z361" s="183"/>
      <c r="AA361" s="183">
        <v>0</v>
      </c>
      <c r="AB361" s="182">
        <f t="shared" ref="AB361:AC365" si="1616">X361+Z361</f>
        <v>0</v>
      </c>
      <c r="AC361" s="182">
        <f t="shared" si="1616"/>
        <v>0</v>
      </c>
      <c r="AD361" s="182"/>
      <c r="AE361" s="182">
        <f>(AD361*$E361*$F361*$G361*$L361*$AE$12)</f>
        <v>0</v>
      </c>
      <c r="AF361" s="182"/>
      <c r="AG361" s="182"/>
      <c r="AH361" s="182">
        <v>2</v>
      </c>
      <c r="AI361" s="182">
        <f>(AH361*$E361*$F361*$G361*$L361*$AI$12)</f>
        <v>193562.53839999999</v>
      </c>
      <c r="AJ361" s="182"/>
      <c r="AK361" s="182"/>
      <c r="AL361" s="182"/>
      <c r="AM361" s="182"/>
      <c r="AN361" s="184"/>
      <c r="AO361" s="182">
        <f>(AN361*$E361*$F361*$G361*$L361*$AO$12)</f>
        <v>0</v>
      </c>
      <c r="AP361" s="182">
        <v>17</v>
      </c>
      <c r="AQ361" s="183">
        <f>(AP361*$E361*$F361*$G361*$L361*$AQ$12)</f>
        <v>1645281.5763999999</v>
      </c>
      <c r="AR361" s="182">
        <v>0</v>
      </c>
      <c r="AS361" s="182">
        <f t="shared" ref="AS361:AS363" si="1617">(AR361*$E361*$F361*$G361*$L361*$AS$12)/12*10+(AR361*$E361*$F361*$G361*$L361*$AS$13)/12*1+(AR361*$E361*$F361*$G361*$L361*$AS$14)/12*1</f>
        <v>0</v>
      </c>
      <c r="AT361" s="182">
        <f>20-2</f>
        <v>18</v>
      </c>
      <c r="AU361" s="182">
        <f t="shared" ref="AU361:AU365" si="1618">(AT361*$E361*$F361*$G361*$M361*$AU$12)/12*10+(AT361*$E361*$F361*$G361*$M361*$AU$13)/12+(AT361*$E361*$F361*$G361*$M361*$AU$14*$AU$15)/12</f>
        <v>2190057.1115323817</v>
      </c>
      <c r="AV361" s="188">
        <v>0</v>
      </c>
      <c r="AW361" s="182">
        <v>0</v>
      </c>
      <c r="AX361" s="182">
        <v>1</v>
      </c>
      <c r="AY361" s="187">
        <f>(AX361*$E361*$F361*$G361*$M361*$AY$12)</f>
        <v>116137.52304</v>
      </c>
      <c r="AZ361" s="182"/>
      <c r="BA361" s="182">
        <f>(AZ361*$E361*$F361*$G361*$L361*$BA$12)</f>
        <v>0</v>
      </c>
      <c r="BB361" s="182"/>
      <c r="BC361" s="182">
        <f>(BB361*$E361*$F361*$G361*$L361*$BC$12)</f>
        <v>0</v>
      </c>
      <c r="BD361" s="182"/>
      <c r="BE361" s="182">
        <f>(BD361*$E361*$F361*$G361*$L361*$BE$12)</f>
        <v>0</v>
      </c>
      <c r="BF361" s="182"/>
      <c r="BG361" s="182">
        <f>(BF361*$E361*$F361*$G361*$L361*$BG$12)</f>
        <v>0</v>
      </c>
      <c r="BH361" s="182"/>
      <c r="BI361" s="183">
        <f>(BH361*$E361*$F361*$G361*$L361*$BI$12)</f>
        <v>0</v>
      </c>
      <c r="BJ361" s="182"/>
      <c r="BK361" s="183">
        <f>(BJ361*$E361*$F361*$G361*$L361*$BK$12)</f>
        <v>0</v>
      </c>
      <c r="BL361" s="182">
        <v>2</v>
      </c>
      <c r="BM361" s="182">
        <f t="shared" ref="BM361:BM365" si="1619">(BL361/12*11*$E361*$F361*$G361*$L361*$BM$12)+(BL361/12*$E361*$F361*$G361*$L361*$BM$12*$BM$15)</f>
        <v>245626.98997883193</v>
      </c>
      <c r="BN361" s="182">
        <v>1</v>
      </c>
      <c r="BO361" s="182">
        <f>(BN361*$E361*$F361*$G361*$M361*$BO$12)</f>
        <v>116137.52304</v>
      </c>
      <c r="BP361" s="182"/>
      <c r="BQ361" s="182">
        <f>(BP361*$E361*$F361*$G361*$M361*$BQ$12)</f>
        <v>0</v>
      </c>
      <c r="BR361" s="182"/>
      <c r="BS361" s="183">
        <f>(BR361*$E361*$F361*$G361*$M361*$BS$12)</f>
        <v>0</v>
      </c>
      <c r="BT361" s="182">
        <v>3</v>
      </c>
      <c r="BU361" s="182">
        <f t="shared" ref="BU361:BU362" si="1620">(BT361*$E361*$F361*$G361*$M361*$BU$12)/12*10+(BT361*$E361*$F361*$G361*$M361*$BU$13)/12+(BT361*$E361*$F361*$G361*$M361*$BU$13*$BU$15)/12</f>
        <v>352847.33322706551</v>
      </c>
      <c r="BV361" s="182"/>
      <c r="BW361" s="182">
        <f>(BV361*$E361*$F361*$G361*$M361*$BW$12)</f>
        <v>0</v>
      </c>
      <c r="BX361" s="182"/>
      <c r="BY361" s="183">
        <f>(BX361*$E361*$F361*$G361*$M361*$BY$12)</f>
        <v>0</v>
      </c>
      <c r="BZ361" s="182"/>
      <c r="CA361" s="187">
        <f t="shared" ref="CA361:CA364" si="1621">(BZ361*$E361*$F361*$G361*$M361*$CA$12)/12*11+(BZ361*$E361*$F361*$G361*$M361*$CA$12*$CA$15)/12</f>
        <v>0</v>
      </c>
      <c r="CB361" s="182"/>
      <c r="CC361" s="182">
        <f>(CB361*$E361*$F361*$G361*$L361*$CC$12)</f>
        <v>0</v>
      </c>
      <c r="CD361" s="182"/>
      <c r="CE361" s="182">
        <f>(CD361*$E361*$F361*$G361*$L361*$CE$12)</f>
        <v>0</v>
      </c>
      <c r="CF361" s="182"/>
      <c r="CG361" s="182">
        <f>(CF361*$E361*$F361*$G361*$L361*$CG$12)</f>
        <v>0</v>
      </c>
      <c r="CH361" s="182">
        <v>1</v>
      </c>
      <c r="CI361" s="182">
        <f t="shared" ref="CI361:CI362" si="1622">(CH361*$E361*$F361*$G361*$M361*$CI$12)/12*11+(CH361*$E361*$F361*$G361*$M361*$CI$12*$CI$15)/12</f>
        <v>117661.564080984</v>
      </c>
      <c r="CJ361" s="182"/>
      <c r="CK361" s="182"/>
      <c r="CL361" s="182"/>
      <c r="CM361" s="183">
        <f>(CL361*$E361*$F361*$G361*$L361*$CM$12)</f>
        <v>0</v>
      </c>
      <c r="CN361" s="182"/>
      <c r="CO361" s="183">
        <f>(CN361*$E361*$F361*$G361*$L361*$CO$12)</f>
        <v>0</v>
      </c>
      <c r="CP361" s="182">
        <v>1</v>
      </c>
      <c r="CQ361" s="182">
        <f t="shared" ref="CQ361:CQ362" si="1623">(CP361*$E361*$F361*$G361*$L361*$CQ$12)/12*11+(CP361*$E361*$F361*$G361*$L361*$CQ$12*$CQ$15)/12</f>
        <v>97513.287527039996</v>
      </c>
      <c r="CR361" s="182"/>
      <c r="CS361" s="182">
        <f t="shared" ref="CS361" si="1624">(CR361*$E361*$F361*$G361*$L361*$CS$12)/12*10+(CR361*$E361*$F361*$G361*$L361*$CS$13)/12*2</f>
        <v>0</v>
      </c>
      <c r="CT361" s="182">
        <v>8</v>
      </c>
      <c r="CU361" s="182">
        <f t="shared" ref="CU361:CU365" si="1625">(CT361*$E361*$F361*$G361*$L361*$CU$12)/12*11+(CT361*$E361*$F361*$G361*$L361*$CU$12*$CU$15)/12</f>
        <v>738909.15340703994</v>
      </c>
      <c r="CV361" s="182">
        <v>3</v>
      </c>
      <c r="CW361" s="182">
        <v>316738.71000000002</v>
      </c>
      <c r="CX361" s="182">
        <v>5</v>
      </c>
      <c r="CY361" s="182">
        <f t="shared" ref="CY361:CY363" si="1626">(CX361/12*11*$E361*$F361*$G361*$M361*$CY$12)+(CX361/12*$E361*$F361*$G361*$M361*$CY$15*$CY$12)</f>
        <v>569702.06131608004</v>
      </c>
      <c r="CZ361" s="182"/>
      <c r="DA361" s="182">
        <v>0</v>
      </c>
      <c r="DB361" s="188"/>
      <c r="DC361" s="182">
        <f>(DB361*$E361*$F361*$G361*$M361*$DC$12)</f>
        <v>0</v>
      </c>
      <c r="DD361" s="182"/>
      <c r="DE361" s="187"/>
      <c r="DF361" s="182"/>
      <c r="DG361" s="182">
        <f>(DF361*$E361*$F361*$G361*$M361*$DG$12)</f>
        <v>0</v>
      </c>
      <c r="DH361" s="189"/>
      <c r="DI361" s="182">
        <f>(DH361*$E361*$F361*$G361*$M361*$DI$12)</f>
        <v>0</v>
      </c>
      <c r="DJ361" s="182"/>
      <c r="DK361" s="182">
        <f>(DJ361*$E361*$F361*$G361*$M361*$DK$12)</f>
        <v>0</v>
      </c>
      <c r="DL361" s="182"/>
      <c r="DM361" s="182">
        <f>(DL361*$E361*$F361*$G361*$N361*$DM$12)</f>
        <v>0</v>
      </c>
      <c r="DN361" s="182">
        <f>ROUND(2*0.75,0)</f>
        <v>2</v>
      </c>
      <c r="DO361" s="190">
        <f>(DN361*$E361*$F361*$G361*$O361*$DO$12)</f>
        <v>323023.19719999994</v>
      </c>
      <c r="DP361" s="187"/>
      <c r="DQ361" s="187"/>
      <c r="DR361" s="183">
        <f t="shared" si="1514"/>
        <v>93</v>
      </c>
      <c r="DS361" s="183">
        <f t="shared" si="1514"/>
        <v>9972827.7054494247</v>
      </c>
      <c r="DT361" s="182">
        <v>88</v>
      </c>
      <c r="DU361" s="182">
        <v>9267372.1415199991</v>
      </c>
      <c r="DV361" s="167">
        <f t="shared" si="1450"/>
        <v>5</v>
      </c>
      <c r="DW361" s="167">
        <f t="shared" si="1450"/>
        <v>705455.56392942555</v>
      </c>
    </row>
    <row r="362" spans="1:127" ht="22.5" customHeight="1" x14ac:dyDescent="0.25">
      <c r="A362" s="154"/>
      <c r="B362" s="176">
        <v>316</v>
      </c>
      <c r="C362" s="177" t="s">
        <v>797</v>
      </c>
      <c r="D362" s="210" t="s">
        <v>798</v>
      </c>
      <c r="E362" s="158">
        <v>25969</v>
      </c>
      <c r="F362" s="179">
        <v>3.51</v>
      </c>
      <c r="G362" s="243">
        <v>0.8</v>
      </c>
      <c r="H362" s="242"/>
      <c r="I362" s="242"/>
      <c r="J362" s="242"/>
      <c r="K362" s="106"/>
      <c r="L362" s="180">
        <v>1.4</v>
      </c>
      <c r="M362" s="180">
        <v>1.68</v>
      </c>
      <c r="N362" s="180">
        <v>2.23</v>
      </c>
      <c r="O362" s="181">
        <v>2.57</v>
      </c>
      <c r="P362" s="244">
        <v>40</v>
      </c>
      <c r="Q362" s="182">
        <f>(P362*$E362*$F362*$G362*$L362*$Q$12)</f>
        <v>4491930.6431999998</v>
      </c>
      <c r="R362" s="182">
        <v>39</v>
      </c>
      <c r="S362" s="182">
        <f>(R362*$E362*$F362*$G362*$L362*$S$12)</f>
        <v>4379632.3771200003</v>
      </c>
      <c r="T362" s="182">
        <v>9</v>
      </c>
      <c r="U362" s="182">
        <f t="shared" si="1614"/>
        <v>1159990.04394</v>
      </c>
      <c r="V362" s="182"/>
      <c r="W362" s="183">
        <f t="shared" si="1615"/>
        <v>0</v>
      </c>
      <c r="X362" s="183"/>
      <c r="Y362" s="183">
        <v>0</v>
      </c>
      <c r="Z362" s="183"/>
      <c r="AA362" s="183">
        <v>0</v>
      </c>
      <c r="AB362" s="182">
        <f t="shared" si="1616"/>
        <v>0</v>
      </c>
      <c r="AC362" s="182">
        <f t="shared" si="1616"/>
        <v>0</v>
      </c>
      <c r="AD362" s="182"/>
      <c r="AE362" s="182">
        <f>(AD362*$E362*$F362*$G362*$L362*$AE$12)</f>
        <v>0</v>
      </c>
      <c r="AF362" s="182"/>
      <c r="AG362" s="182"/>
      <c r="AH362" s="182">
        <v>2</v>
      </c>
      <c r="AI362" s="182">
        <f>(AH362*$E362*$F362*$G362*$L362*$AI$12)</f>
        <v>224596.53215999997</v>
      </c>
      <c r="AJ362" s="182"/>
      <c r="AK362" s="182"/>
      <c r="AL362" s="182"/>
      <c r="AM362" s="182"/>
      <c r="AN362" s="275">
        <v>1</v>
      </c>
      <c r="AO362" s="182">
        <f>(AN362*$E362*$F362*$G362*$L362*$AO$12)</f>
        <v>112298.26607999999</v>
      </c>
      <c r="AP362" s="182">
        <v>15</v>
      </c>
      <c r="AQ362" s="183">
        <f>(AP362*$E362*$F362*$G362*$L362*$AQ$12)</f>
        <v>1684473.9912</v>
      </c>
      <c r="AR362" s="182"/>
      <c r="AS362" s="182">
        <f t="shared" si="1617"/>
        <v>0</v>
      </c>
      <c r="AT362" s="182">
        <f>5+13</f>
        <v>18</v>
      </c>
      <c r="AU362" s="182">
        <f t="shared" si="1618"/>
        <v>2541190.2351995576</v>
      </c>
      <c r="AV362" s="188">
        <v>0</v>
      </c>
      <c r="AW362" s="182">
        <v>0</v>
      </c>
      <c r="AX362" s="182"/>
      <c r="AY362" s="187">
        <f>(AX362*$E362*$F362*$G362*$M362*$AY$12)</f>
        <v>0</v>
      </c>
      <c r="AZ362" s="182"/>
      <c r="BA362" s="182">
        <f>(AZ362*$E362*$F362*$G362*$L362*$BA$12)</f>
        <v>0</v>
      </c>
      <c r="BB362" s="182">
        <v>0</v>
      </c>
      <c r="BC362" s="182">
        <f>(BB362*$E362*$F362*$G362*$L362*$BC$12)</f>
        <v>0</v>
      </c>
      <c r="BD362" s="182"/>
      <c r="BE362" s="182">
        <f>(BD362*$E362*$F362*$G362*$L362*$BE$12)</f>
        <v>0</v>
      </c>
      <c r="BF362" s="182"/>
      <c r="BG362" s="182">
        <f>(BF362*$E362*$F362*$G362*$L362*$BG$12)</f>
        <v>0</v>
      </c>
      <c r="BH362" s="182"/>
      <c r="BI362" s="183">
        <f>(BH362*$E362*$F362*$G362*$L362*$BI$12)</f>
        <v>0</v>
      </c>
      <c r="BJ362" s="182"/>
      <c r="BK362" s="183">
        <f>(BJ362*$E362*$F362*$G362*$L362*$BK$12)</f>
        <v>0</v>
      </c>
      <c r="BL362" s="182">
        <v>3</v>
      </c>
      <c r="BM362" s="182">
        <f t="shared" si="1619"/>
        <v>427512.76107059512</v>
      </c>
      <c r="BN362" s="182">
        <v>2</v>
      </c>
      <c r="BO362" s="182">
        <f>(BN362*$E362*$F362*$G362*$M362*$BO$12)</f>
        <v>269515.83859200001</v>
      </c>
      <c r="BP362" s="182"/>
      <c r="BQ362" s="182">
        <f>(BP362*$E362*$F362*$G362*$M362*$BQ$12)</f>
        <v>0</v>
      </c>
      <c r="BR362" s="182"/>
      <c r="BS362" s="183">
        <f>(BR362*$E362*$F362*$G362*$M362*$BS$12)</f>
        <v>0</v>
      </c>
      <c r="BT362" s="182">
        <v>2</v>
      </c>
      <c r="BU362" s="182">
        <f t="shared" si="1620"/>
        <v>272946.36685994494</v>
      </c>
      <c r="BV362" s="182">
        <v>2</v>
      </c>
      <c r="BW362" s="182">
        <f>(BV362*$E362*$F362*$G362*$M362*$BW$12)</f>
        <v>220512.95884799998</v>
      </c>
      <c r="BX362" s="182">
        <v>4</v>
      </c>
      <c r="BY362" s="183">
        <f t="shared" ref="BY362:BY365" si="1627">(BX362*$E362*$F362*$G362*$M362*$BY$12)/12*11+(BX362*$E362*$F362*$G362*$M362*$BY$12*$BY$15)/12</f>
        <v>660892.03853137919</v>
      </c>
      <c r="BZ362" s="182">
        <v>10</v>
      </c>
      <c r="CA362" s="187">
        <f t="shared" si="1621"/>
        <v>1601077.2152356799</v>
      </c>
      <c r="CB362" s="182"/>
      <c r="CC362" s="182">
        <f>(CB362*$E362*$F362*$G362*$L362*$CC$12)</f>
        <v>0</v>
      </c>
      <c r="CD362" s="182"/>
      <c r="CE362" s="182">
        <f>(CD362*$E362*$F362*$G362*$L362*$CE$12)</f>
        <v>0</v>
      </c>
      <c r="CF362" s="182"/>
      <c r="CG362" s="182">
        <f>(CF362*$E362*$F362*$G362*$L362*$CG$12)</f>
        <v>0</v>
      </c>
      <c r="CH362" s="182">
        <v>3</v>
      </c>
      <c r="CI362" s="182">
        <f t="shared" si="1622"/>
        <v>409578.93215628481</v>
      </c>
      <c r="CJ362" s="182"/>
      <c r="CK362" s="182"/>
      <c r="CL362" s="182"/>
      <c r="CM362" s="183">
        <f>(CL362*$E362*$F362*$G362*$L362*$CM$12)</f>
        <v>0</v>
      </c>
      <c r="CN362" s="182">
        <v>12</v>
      </c>
      <c r="CO362" s="183">
        <f>(CN362*$E362*$F362*$G362*$L362*$CO$12)</f>
        <v>980057.59488000022</v>
      </c>
      <c r="CP362" s="182">
        <v>1</v>
      </c>
      <c r="CQ362" s="182">
        <f t="shared" si="1623"/>
        <v>113147.64932889598</v>
      </c>
      <c r="CR362" s="182">
        <v>3</v>
      </c>
      <c r="CS362" s="182">
        <f t="shared" ref="CS362" si="1628">(CR362*$E362*$F362*$G362*$L362*$CS$12)/12*10+(CR362*$E362*$F362*$G362*$L362*$CS$13)/12+(CR362*$E362*$F362*$G362*$L362*$CS$13*$CS$15)/12</f>
        <v>367175.00479514408</v>
      </c>
      <c r="CT362" s="182">
        <v>12</v>
      </c>
      <c r="CU362" s="182">
        <f t="shared" si="1625"/>
        <v>1286068.3281613442</v>
      </c>
      <c r="CV362" s="182">
        <v>5</v>
      </c>
      <c r="CW362" s="182">
        <v>551282.39999999991</v>
      </c>
      <c r="CX362" s="182">
        <v>4</v>
      </c>
      <c r="CY362" s="182">
        <f t="shared" si="1626"/>
        <v>528834.17790927354</v>
      </c>
      <c r="CZ362" s="182"/>
      <c r="DA362" s="182">
        <v>0</v>
      </c>
      <c r="DB362" s="188"/>
      <c r="DC362" s="182">
        <f>(DB362*$E362*$F362*$G362*$M362*$DC$12)</f>
        <v>0</v>
      </c>
      <c r="DD362" s="182"/>
      <c r="DE362" s="187"/>
      <c r="DF362" s="182"/>
      <c r="DG362" s="182">
        <f>(DF362*$E362*$F362*$G362*$M362*$DG$12)</f>
        <v>0</v>
      </c>
      <c r="DH362" s="189"/>
      <c r="DI362" s="182">
        <f>(DH362*$E362*$F362*$G362*$M362*$DI$12)</f>
        <v>0</v>
      </c>
      <c r="DJ362" s="182">
        <v>1</v>
      </c>
      <c r="DK362" s="182">
        <f t="shared" ref="DK362:DK365" si="1629">(DJ362/12*11*$E362*$F362*$G362*$M362*$DK$12)+(DJ362/12*1*$E362*$F362*$M362*$G362*$DK$12*$DK$15)</f>
        <v>133495.07424926397</v>
      </c>
      <c r="DL362" s="182"/>
      <c r="DM362" s="182">
        <f>(DL362*$E362*$F362*$G362*$N362*$DM$12)</f>
        <v>0</v>
      </c>
      <c r="DN362" s="182"/>
      <c r="DO362" s="190">
        <f>(DN362*$E362*$F362*$G362*$O362*$DO$12)</f>
        <v>0</v>
      </c>
      <c r="DP362" s="187"/>
      <c r="DQ362" s="187"/>
      <c r="DR362" s="183">
        <f t="shared" si="1514"/>
        <v>188</v>
      </c>
      <c r="DS362" s="183">
        <f t="shared" si="1514"/>
        <v>22416208.429517362</v>
      </c>
      <c r="DT362" s="182">
        <v>188</v>
      </c>
      <c r="DU362" s="182">
        <v>21856305.262031998</v>
      </c>
      <c r="DV362" s="167">
        <f t="shared" si="1450"/>
        <v>0</v>
      </c>
      <c r="DW362" s="167">
        <f t="shared" si="1450"/>
        <v>559903.16748536378</v>
      </c>
    </row>
    <row r="363" spans="1:127" ht="22.5" customHeight="1" x14ac:dyDescent="0.25">
      <c r="A363" s="154"/>
      <c r="B363" s="176">
        <v>317</v>
      </c>
      <c r="C363" s="177" t="s">
        <v>799</v>
      </c>
      <c r="D363" s="210" t="s">
        <v>800</v>
      </c>
      <c r="E363" s="158">
        <v>25969</v>
      </c>
      <c r="F363" s="179">
        <v>4.0199999999999996</v>
      </c>
      <c r="G363" s="168">
        <v>1</v>
      </c>
      <c r="H363" s="169"/>
      <c r="I363" s="169"/>
      <c r="J363" s="169"/>
      <c r="K363" s="106"/>
      <c r="L363" s="180">
        <v>1.4</v>
      </c>
      <c r="M363" s="180">
        <v>1.68</v>
      </c>
      <c r="N363" s="180">
        <v>2.23</v>
      </c>
      <c r="O363" s="181">
        <v>2.57</v>
      </c>
      <c r="P363" s="244">
        <v>2</v>
      </c>
      <c r="Q363" s="182">
        <f>(P363*$E363*$F363*$G363*$L363*$Q$12)</f>
        <v>321537.77039999998</v>
      </c>
      <c r="R363" s="182">
        <v>5</v>
      </c>
      <c r="S363" s="182">
        <f>(R363*$E363*$F363*$G363*$L363*$S$12)</f>
        <v>803844.42599999998</v>
      </c>
      <c r="T363" s="182"/>
      <c r="U363" s="182">
        <f t="shared" si="1614"/>
        <v>0</v>
      </c>
      <c r="V363" s="182"/>
      <c r="W363" s="183">
        <f t="shared" si="1615"/>
        <v>0</v>
      </c>
      <c r="X363" s="183"/>
      <c r="Y363" s="183">
        <v>0</v>
      </c>
      <c r="Z363" s="183"/>
      <c r="AA363" s="183">
        <v>0</v>
      </c>
      <c r="AB363" s="182">
        <f t="shared" si="1616"/>
        <v>0</v>
      </c>
      <c r="AC363" s="182">
        <f t="shared" si="1616"/>
        <v>0</v>
      </c>
      <c r="AD363" s="182"/>
      <c r="AE363" s="182">
        <f>(AD363*$E363*$F363*$G363*$L363*$AE$12)</f>
        <v>0</v>
      </c>
      <c r="AF363" s="182"/>
      <c r="AG363" s="182"/>
      <c r="AH363" s="182">
        <v>2</v>
      </c>
      <c r="AI363" s="182">
        <f>(AH363*$E363*$F363*$G363*$L363*$AI$12)</f>
        <v>321537.77039999998</v>
      </c>
      <c r="AJ363" s="182"/>
      <c r="AK363" s="182"/>
      <c r="AL363" s="182"/>
      <c r="AM363" s="182"/>
      <c r="AN363" s="184"/>
      <c r="AO363" s="182">
        <f>(AN363*$E363*$F363*$G363*$L363*$AO$12)</f>
        <v>0</v>
      </c>
      <c r="AP363" s="182"/>
      <c r="AQ363" s="183">
        <f>(AP363*$E363*$F363*$G363*$L363*$AQ$12)</f>
        <v>0</v>
      </c>
      <c r="AR363" s="182"/>
      <c r="AS363" s="182">
        <f t="shared" si="1617"/>
        <v>0</v>
      </c>
      <c r="AT363" s="182">
        <v>1</v>
      </c>
      <c r="AU363" s="182">
        <f t="shared" si="1618"/>
        <v>202112.70864004077</v>
      </c>
      <c r="AV363" s="188">
        <v>0</v>
      </c>
      <c r="AW363" s="182">
        <v>0</v>
      </c>
      <c r="AX363" s="182"/>
      <c r="AY363" s="187">
        <f>(AX363*$E363*$F363*$G363*$M363*$AY$12)</f>
        <v>0</v>
      </c>
      <c r="AZ363" s="182"/>
      <c r="BA363" s="182">
        <f>(AZ363*$E363*$F363*$G363*$L363*$BA$12)</f>
        <v>0</v>
      </c>
      <c r="BB363" s="182">
        <v>0</v>
      </c>
      <c r="BC363" s="182">
        <f>(BB363*$E363*$F363*$G363*$L363*$BC$12)</f>
        <v>0</v>
      </c>
      <c r="BD363" s="182"/>
      <c r="BE363" s="182">
        <f>(BD363*$E363*$F363*$G363*$L363*$BE$12)</f>
        <v>0</v>
      </c>
      <c r="BF363" s="182"/>
      <c r="BG363" s="182">
        <f>(BF363*$E363*$F363*$G363*$L363*$BG$12)</f>
        <v>0</v>
      </c>
      <c r="BH363" s="182"/>
      <c r="BI363" s="183">
        <f>(BH363*$E363*$F363*$G363*$L363*$BI$12)</f>
        <v>0</v>
      </c>
      <c r="BJ363" s="182"/>
      <c r="BK363" s="183">
        <f>(BJ363*$E363*$F363*$G363*$L363*$BK$12)</f>
        <v>0</v>
      </c>
      <c r="BL363" s="182"/>
      <c r="BM363" s="182">
        <f t="shared" si="1619"/>
        <v>0</v>
      </c>
      <c r="BN363" s="182"/>
      <c r="BO363" s="182">
        <f>(BN363*$E363*$F363*$G363*$M363*$BO$12)</f>
        <v>0</v>
      </c>
      <c r="BP363" s="182"/>
      <c r="BQ363" s="182">
        <f>(BP363*$E363*$F363*$G363*$M363*$BQ$12)</f>
        <v>0</v>
      </c>
      <c r="BR363" s="182"/>
      <c r="BS363" s="183">
        <f>(BR363*$E363*$F363*$G363*$M363*$BS$12)</f>
        <v>0</v>
      </c>
      <c r="BT363" s="182"/>
      <c r="BU363" s="182">
        <f t="shared" ref="BU363:BU364" si="1630">(BT363*$E363*$F363*$G363*$M363*$BU$12)/12*10+(BT363*$E363*$F363*$G363*$M363*$BU$13)/12*2</f>
        <v>0</v>
      </c>
      <c r="BV363" s="182"/>
      <c r="BW363" s="182">
        <f>(BV363*$E363*$F363*$G363*$M363*$BW$12)</f>
        <v>0</v>
      </c>
      <c r="BX363" s="182"/>
      <c r="BY363" s="183">
        <f t="shared" si="1627"/>
        <v>0</v>
      </c>
      <c r="BZ363" s="182"/>
      <c r="CA363" s="187">
        <f t="shared" si="1621"/>
        <v>0</v>
      </c>
      <c r="CB363" s="182"/>
      <c r="CC363" s="182">
        <f>(CB363*$E363*$F363*$G363*$L363*$CC$12)</f>
        <v>0</v>
      </c>
      <c r="CD363" s="182"/>
      <c r="CE363" s="182">
        <f>(CD363*$E363*$F363*$G363*$L363*$CE$12)</f>
        <v>0</v>
      </c>
      <c r="CF363" s="182"/>
      <c r="CG363" s="182">
        <f>(CF363*$E363*$F363*$G363*$L363*$CG$12)</f>
        <v>0</v>
      </c>
      <c r="CH363" s="182"/>
      <c r="CI363" s="182">
        <f>(CH363*$E363*$F363*$G363*$M363*$CI$12)</f>
        <v>0</v>
      </c>
      <c r="CJ363" s="182"/>
      <c r="CK363" s="182"/>
      <c r="CL363" s="182"/>
      <c r="CM363" s="183">
        <f>(CL363*$E363*$F363*$G363*$L363*$CM$12)</f>
        <v>0</v>
      </c>
      <c r="CN363" s="182"/>
      <c r="CO363" s="183">
        <f>(CN363*$E363*$F363*$G363*$L363*$CO$12)</f>
        <v>0</v>
      </c>
      <c r="CP363" s="182"/>
      <c r="CQ363" s="182">
        <f>(CP363*$E363*$F363*$G363*$L363*$CQ$12)</f>
        <v>0</v>
      </c>
      <c r="CR363" s="182"/>
      <c r="CS363" s="182">
        <f>(CR363*$E363*$F363*$G363*$L363*$CS$12)</f>
        <v>0</v>
      </c>
      <c r="CT363" s="182"/>
      <c r="CU363" s="182">
        <f t="shared" si="1625"/>
        <v>0</v>
      </c>
      <c r="CV363" s="182"/>
      <c r="CW363" s="182">
        <v>0</v>
      </c>
      <c r="CX363" s="182"/>
      <c r="CY363" s="182">
        <f t="shared" si="1626"/>
        <v>0</v>
      </c>
      <c r="CZ363" s="182"/>
      <c r="DA363" s="182">
        <v>0</v>
      </c>
      <c r="DB363" s="188"/>
      <c r="DC363" s="182">
        <f>(DB363*$E363*$F363*$G363*$M363*$DC$12)</f>
        <v>0</v>
      </c>
      <c r="DD363" s="182"/>
      <c r="DE363" s="187"/>
      <c r="DF363" s="182"/>
      <c r="DG363" s="182">
        <f>(DF363*$E363*$F363*$G363*$M363*$DG$12)</f>
        <v>0</v>
      </c>
      <c r="DH363" s="189"/>
      <c r="DI363" s="182">
        <f>(DH363*$E363*$F363*$G363*$M363*$DI$12)</f>
        <v>0</v>
      </c>
      <c r="DJ363" s="182"/>
      <c r="DK363" s="182">
        <f t="shared" si="1629"/>
        <v>0</v>
      </c>
      <c r="DL363" s="182"/>
      <c r="DM363" s="182">
        <f>(DL363*$E363*$F363*$G363*$N363*$DM$12)</f>
        <v>0</v>
      </c>
      <c r="DN363" s="182"/>
      <c r="DO363" s="190">
        <f>(DN363*$E363*$F363*$G363*$O363*$DO$12)</f>
        <v>0</v>
      </c>
      <c r="DP363" s="187"/>
      <c r="DQ363" s="187"/>
      <c r="DR363" s="183">
        <f t="shared" si="1514"/>
        <v>10</v>
      </c>
      <c r="DS363" s="183">
        <f t="shared" si="1514"/>
        <v>1649032.6754400409</v>
      </c>
      <c r="DT363" s="182">
        <v>11</v>
      </c>
      <c r="DU363" s="182">
        <v>1804996.1202</v>
      </c>
      <c r="DV363" s="167">
        <f t="shared" si="1450"/>
        <v>-1</v>
      </c>
      <c r="DW363" s="167">
        <f t="shared" si="1450"/>
        <v>-155963.44475995912</v>
      </c>
    </row>
    <row r="364" spans="1:127" ht="30" customHeight="1" x14ac:dyDescent="0.25">
      <c r="A364" s="154"/>
      <c r="B364" s="176">
        <v>318</v>
      </c>
      <c r="C364" s="177" t="s">
        <v>801</v>
      </c>
      <c r="D364" s="210" t="s">
        <v>802</v>
      </c>
      <c r="E364" s="158">
        <v>25969</v>
      </c>
      <c r="F364" s="179">
        <v>0.84</v>
      </c>
      <c r="G364" s="168">
        <v>1</v>
      </c>
      <c r="H364" s="169"/>
      <c r="I364" s="169"/>
      <c r="J364" s="169"/>
      <c r="K364" s="106"/>
      <c r="L364" s="180">
        <v>1.4</v>
      </c>
      <c r="M364" s="180">
        <v>1.68</v>
      </c>
      <c r="N364" s="180">
        <v>2.23</v>
      </c>
      <c r="O364" s="181">
        <v>2.57</v>
      </c>
      <c r="P364" s="244">
        <v>60</v>
      </c>
      <c r="Q364" s="182">
        <f>(P364*$E364*$F364*$G364*$L364*$Q$12)</f>
        <v>2015609.9039999999</v>
      </c>
      <c r="R364" s="182">
        <v>55</v>
      </c>
      <c r="S364" s="182">
        <f>(R364*$E364*$F364*$G364*$L364*$S$12)</f>
        <v>1847642.412</v>
      </c>
      <c r="T364" s="182">
        <v>9</v>
      </c>
      <c r="U364" s="182">
        <f t="shared" si="1614"/>
        <v>347005.56869999995</v>
      </c>
      <c r="V364" s="182"/>
      <c r="W364" s="183">
        <f t="shared" si="1615"/>
        <v>0</v>
      </c>
      <c r="X364" s="183"/>
      <c r="Y364" s="183">
        <v>0</v>
      </c>
      <c r="Z364" s="183"/>
      <c r="AA364" s="183">
        <v>0</v>
      </c>
      <c r="AB364" s="182">
        <f t="shared" si="1616"/>
        <v>0</v>
      </c>
      <c r="AC364" s="182">
        <f t="shared" si="1616"/>
        <v>0</v>
      </c>
      <c r="AD364" s="182"/>
      <c r="AE364" s="182">
        <f>(AD364*$E364*$F364*$G364*$L364*$AE$12)</f>
        <v>0</v>
      </c>
      <c r="AF364" s="182"/>
      <c r="AG364" s="182"/>
      <c r="AH364" s="182">
        <v>3</v>
      </c>
      <c r="AI364" s="182">
        <f>(AH364*$E364*$F364*$G364*$L364*$AI$12)</f>
        <v>100780.4952</v>
      </c>
      <c r="AJ364" s="182"/>
      <c r="AK364" s="182"/>
      <c r="AL364" s="182"/>
      <c r="AM364" s="182"/>
      <c r="AN364" s="182">
        <v>6</v>
      </c>
      <c r="AO364" s="182">
        <f>(AN364*$E364*$F364*$G364*$L364*$AO$12)</f>
        <v>201560.99040000001</v>
      </c>
      <c r="AP364" s="182"/>
      <c r="AQ364" s="183">
        <f>(AP364*$E364*$F364*$G364*$L364*$AQ$12)</f>
        <v>0</v>
      </c>
      <c r="AR364" s="182">
        <v>6</v>
      </c>
      <c r="AS364" s="182">
        <f t="shared" ref="AS364:AS365" si="1631">(AR364*$E364*$F364*$G364*$L364*$AS$12)/12*10+(AR364*$E364*$F364*$G364*$L364*$AS$13)/12*1+(AR364*$E364*$F364*$L364*$G364*$AS$14*$AS$15)/12*1</f>
        <v>217591.19704560001</v>
      </c>
      <c r="AT364" s="182">
        <f>50-7</f>
        <v>43</v>
      </c>
      <c r="AU364" s="182">
        <f t="shared" si="1618"/>
        <v>1815997.7701687247</v>
      </c>
      <c r="AV364" s="188">
        <v>1</v>
      </c>
      <c r="AW364" s="182">
        <v>51306.43</v>
      </c>
      <c r="AX364" s="182"/>
      <c r="AY364" s="187">
        <f>(AX364*$E364*$F364*$G364*$M364*$AY$12)</f>
        <v>0</v>
      </c>
      <c r="AZ364" s="182"/>
      <c r="BA364" s="182">
        <f>(AZ364*$E364*$F364*$G364*$L364*$BA$12)</f>
        <v>0</v>
      </c>
      <c r="BB364" s="182">
        <v>0</v>
      </c>
      <c r="BC364" s="182">
        <f>(BB364*$E364*$F364*$G364*$L364*$BC$12)</f>
        <v>0</v>
      </c>
      <c r="BD364" s="182"/>
      <c r="BE364" s="182">
        <f>(BD364*$E364*$F364*$G364*$L364*$BE$12)</f>
        <v>0</v>
      </c>
      <c r="BF364" s="182"/>
      <c r="BG364" s="182">
        <f>(BF364*$E364*$F364*$G364*$L364*$BG$12)</f>
        <v>0</v>
      </c>
      <c r="BH364" s="182"/>
      <c r="BI364" s="183">
        <f>(BH364*$E364*$F364*$G364*$L364*$BI$12)</f>
        <v>0</v>
      </c>
      <c r="BJ364" s="182"/>
      <c r="BK364" s="183">
        <f>(BJ364*$E364*$F364*$G364*$L364*$BK$12)</f>
        <v>0</v>
      </c>
      <c r="BL364" s="182">
        <v>2</v>
      </c>
      <c r="BM364" s="182">
        <f t="shared" si="1619"/>
        <v>85258.955199263975</v>
      </c>
      <c r="BN364" s="182">
        <v>1</v>
      </c>
      <c r="BO364" s="182">
        <f>(BN364*$E364*$F364*$G364*$M364*$BO$12)</f>
        <v>40312.198080000002</v>
      </c>
      <c r="BP364" s="182"/>
      <c r="BQ364" s="182">
        <f>(BP364*$E364*$F364*$G364*$M364*$BQ$12)</f>
        <v>0</v>
      </c>
      <c r="BR364" s="182"/>
      <c r="BS364" s="183">
        <f>(BR364*$E364*$F364*$G364*$M364*$BS$12)</f>
        <v>0</v>
      </c>
      <c r="BT364" s="182"/>
      <c r="BU364" s="182">
        <f t="shared" si="1630"/>
        <v>0</v>
      </c>
      <c r="BV364" s="182"/>
      <c r="BW364" s="182">
        <f>(BV364*$E364*$F364*$G364*$M364*$BW$12)</f>
        <v>0</v>
      </c>
      <c r="BX364" s="182">
        <v>5</v>
      </c>
      <c r="BY364" s="183">
        <f t="shared" si="1627"/>
        <v>247128.43321152002</v>
      </c>
      <c r="BZ364" s="182">
        <v>8</v>
      </c>
      <c r="CA364" s="187">
        <f t="shared" si="1621"/>
        <v>383163.77800511994</v>
      </c>
      <c r="CB364" s="182"/>
      <c r="CC364" s="182">
        <f>(CB364*$E364*$F364*$G364*$L364*$CC$12)</f>
        <v>0</v>
      </c>
      <c r="CD364" s="182"/>
      <c r="CE364" s="182">
        <f>(CD364*$E364*$F364*$G364*$L364*$CE$12)</f>
        <v>0</v>
      </c>
      <c r="CF364" s="182"/>
      <c r="CG364" s="182">
        <f>(CF364*$E364*$F364*$G364*$L364*$CG$12)</f>
        <v>0</v>
      </c>
      <c r="CH364" s="182"/>
      <c r="CI364" s="182">
        <f>(CH364*$E364*$F364*$G364*$M364*$CI$12)</f>
        <v>0</v>
      </c>
      <c r="CJ364" s="182"/>
      <c r="CK364" s="182"/>
      <c r="CL364" s="182"/>
      <c r="CM364" s="183">
        <f>(CL364*$E364*$F364*$G364*$L364*$CM$12)</f>
        <v>0</v>
      </c>
      <c r="CN364" s="182"/>
      <c r="CO364" s="183">
        <f>(CN364*$E364*$F364*$G364*$L364*$CO$12)</f>
        <v>0</v>
      </c>
      <c r="CP364" s="182"/>
      <c r="CQ364" s="182">
        <f>(CP364*$E364*$F364*$G364*$L364*$CQ$12)</f>
        <v>0</v>
      </c>
      <c r="CR364" s="182"/>
      <c r="CS364" s="182">
        <f>(CR364*$E364*$F364*$G364*$L364*$CS$12)</f>
        <v>0</v>
      </c>
      <c r="CT364" s="182"/>
      <c r="CU364" s="182">
        <f t="shared" si="1625"/>
        <v>0</v>
      </c>
      <c r="CV364" s="182"/>
      <c r="CW364" s="182">
        <v>0</v>
      </c>
      <c r="CX364" s="182"/>
      <c r="CY364" s="182">
        <f>(CX364*$E364*$F364*$G364*$M364*$CY$12)</f>
        <v>0</v>
      </c>
      <c r="CZ364" s="182"/>
      <c r="DA364" s="182">
        <v>0</v>
      </c>
      <c r="DB364" s="188"/>
      <c r="DC364" s="182">
        <f>(DB364*$E364*$F364*$G364*$M364*$DC$12)</f>
        <v>0</v>
      </c>
      <c r="DD364" s="182"/>
      <c r="DE364" s="187"/>
      <c r="DF364" s="182"/>
      <c r="DG364" s="182">
        <f>(DF364*$E364*$F364*$G364*$M364*$DG$12)</f>
        <v>0</v>
      </c>
      <c r="DH364" s="189"/>
      <c r="DI364" s="182">
        <f>(DH364*$E364*$F364*$G364*$M364*$DI$12)</f>
        <v>0</v>
      </c>
      <c r="DJ364" s="182">
        <v>15</v>
      </c>
      <c r="DK364" s="182">
        <f t="shared" si="1629"/>
        <v>599016.35881080001</v>
      </c>
      <c r="DL364" s="182"/>
      <c r="DM364" s="182">
        <f>(DL364*$E364*$F364*$G364*$N364*$DM$12)</f>
        <v>0</v>
      </c>
      <c r="DN364" s="182">
        <f>ROUND(1*0.75,0)</f>
        <v>1</v>
      </c>
      <c r="DO364" s="190">
        <f>(DN364*$E364*$F364*$G364*$O364*$DO$12)</f>
        <v>56061.877199999995</v>
      </c>
      <c r="DP364" s="187"/>
      <c r="DQ364" s="187"/>
      <c r="DR364" s="183">
        <f t="shared" si="1514"/>
        <v>215</v>
      </c>
      <c r="DS364" s="183">
        <f t="shared" si="1514"/>
        <v>8008436.3680210272</v>
      </c>
      <c r="DT364" s="182">
        <v>209</v>
      </c>
      <c r="DU364" s="182">
        <v>7614293.6217600014</v>
      </c>
      <c r="DV364" s="167">
        <f t="shared" si="1450"/>
        <v>6</v>
      </c>
      <c r="DW364" s="167">
        <f t="shared" si="1450"/>
        <v>394142.74626102578</v>
      </c>
    </row>
    <row r="365" spans="1:127" ht="49.5" customHeight="1" x14ac:dyDescent="0.25">
      <c r="A365" s="154"/>
      <c r="B365" s="176">
        <v>319</v>
      </c>
      <c r="C365" s="177" t="s">
        <v>803</v>
      </c>
      <c r="D365" s="210" t="s">
        <v>804</v>
      </c>
      <c r="E365" s="158">
        <v>25969</v>
      </c>
      <c r="F365" s="168">
        <v>0.5</v>
      </c>
      <c r="G365" s="168">
        <v>1</v>
      </c>
      <c r="H365" s="169"/>
      <c r="I365" s="169"/>
      <c r="J365" s="169"/>
      <c r="K365" s="106"/>
      <c r="L365" s="180">
        <v>1.4</v>
      </c>
      <c r="M365" s="180">
        <v>1.68</v>
      </c>
      <c r="N365" s="180">
        <v>2.23</v>
      </c>
      <c r="O365" s="181">
        <v>2.57</v>
      </c>
      <c r="P365" s="244">
        <v>15</v>
      </c>
      <c r="Q365" s="182">
        <f>(P365*$E365*$F365*$G365*$L365*$Q$12)</f>
        <v>299941.95</v>
      </c>
      <c r="R365" s="182">
        <v>2</v>
      </c>
      <c r="S365" s="182">
        <f>(R365*$E365*$F365*$G365*$L365*$S$12)</f>
        <v>39992.26</v>
      </c>
      <c r="T365" s="182">
        <v>30</v>
      </c>
      <c r="U365" s="182">
        <f t="shared" si="1614"/>
        <v>688503.11249999993</v>
      </c>
      <c r="V365" s="182">
        <v>1</v>
      </c>
      <c r="W365" s="183">
        <f>(V365*$E365*$F365*$G365*$L365*$W$12)/12*10+(V365*$E365*$F365*$G365*$L365*$W$13)/12*1+(V365*$E365*$F365*$G365*$L365*$W$14*$W$15)/12*1</f>
        <v>23118.386332533333</v>
      </c>
      <c r="X365" s="183"/>
      <c r="Y365" s="183">
        <v>0</v>
      </c>
      <c r="Z365" s="183">
        <v>0</v>
      </c>
      <c r="AA365" s="183">
        <v>0</v>
      </c>
      <c r="AB365" s="182">
        <f t="shared" si="1616"/>
        <v>0</v>
      </c>
      <c r="AC365" s="182">
        <f t="shared" si="1616"/>
        <v>0</v>
      </c>
      <c r="AD365" s="182"/>
      <c r="AE365" s="182">
        <f>(AD365*$E365*$F365*$G365*$L365*$AE$12)</f>
        <v>0</v>
      </c>
      <c r="AF365" s="182"/>
      <c r="AG365" s="182"/>
      <c r="AH365" s="182"/>
      <c r="AI365" s="182">
        <f>(AH365*$E365*$F365*$G365*$L365*$AI$12)</f>
        <v>0</v>
      </c>
      <c r="AJ365" s="182"/>
      <c r="AK365" s="182"/>
      <c r="AL365" s="182"/>
      <c r="AM365" s="182"/>
      <c r="AN365" s="182">
        <v>4</v>
      </c>
      <c r="AO365" s="182">
        <f>(AN365*$E365*$F365*$G365*$L365*$AO$12)</f>
        <v>79984.52</v>
      </c>
      <c r="AP365" s="182">
        <v>85</v>
      </c>
      <c r="AQ365" s="183">
        <f>(AP365*$E365*$F365*$G365*$L365*$AQ$12)</f>
        <v>1699671.05</v>
      </c>
      <c r="AR365" s="182">
        <v>1</v>
      </c>
      <c r="AS365" s="182">
        <f t="shared" si="1631"/>
        <v>21586.428278333333</v>
      </c>
      <c r="AT365" s="182">
        <v>20</v>
      </c>
      <c r="AU365" s="182">
        <f t="shared" si="1618"/>
        <v>502767.93194040004</v>
      </c>
      <c r="AV365" s="188">
        <v>8</v>
      </c>
      <c r="AW365" s="182">
        <v>244316.32000000004</v>
      </c>
      <c r="AX365" s="182"/>
      <c r="AY365" s="187">
        <f>(AX365*$E365*$F365*$G365*$M365*$AY$12)</f>
        <v>0</v>
      </c>
      <c r="AZ365" s="182"/>
      <c r="BA365" s="182">
        <f>(AZ365*$E365*$F365*$G365*$L365*$BA$12)</f>
        <v>0</v>
      </c>
      <c r="BB365" s="182"/>
      <c r="BC365" s="182">
        <f>(BB365*$E365*$F365*$G365*$L365*$BC$12)</f>
        <v>0</v>
      </c>
      <c r="BD365" s="182"/>
      <c r="BE365" s="182">
        <f>(BD365*$E365*$F365*$G365*$L365*$BE$12)</f>
        <v>0</v>
      </c>
      <c r="BF365" s="182"/>
      <c r="BG365" s="182">
        <f>(BF365*$E365*$F365*$G365*$L365*$BG$12)</f>
        <v>0</v>
      </c>
      <c r="BH365" s="182"/>
      <c r="BI365" s="183">
        <f>(BH365*$E365*$F365*$G365*$L365*$BI$12)</f>
        <v>0</v>
      </c>
      <c r="BJ365" s="182"/>
      <c r="BK365" s="183">
        <f>(BJ365*$E365*$F365*$G365*$L365*$BK$12)</f>
        <v>0</v>
      </c>
      <c r="BL365" s="182">
        <v>3</v>
      </c>
      <c r="BM365" s="182">
        <f t="shared" si="1619"/>
        <v>76124.067142199987</v>
      </c>
      <c r="BN365" s="182">
        <v>4</v>
      </c>
      <c r="BO365" s="182">
        <f>(BN365*$E365*$F365*$G365*$M365*$BO$12)</f>
        <v>95981.423999999999</v>
      </c>
      <c r="BP365" s="182"/>
      <c r="BQ365" s="182">
        <f>(BP365*$E365*$F365*$G365*$M365*$BQ$12)</f>
        <v>0</v>
      </c>
      <c r="BR365" s="182"/>
      <c r="BS365" s="183">
        <f>(BR365*$E365*$F365*$G365*$M365*$BS$12)</f>
        <v>0</v>
      </c>
      <c r="BT365" s="182">
        <v>12</v>
      </c>
      <c r="BU365" s="182">
        <f t="shared" ref="BU365" si="1632">(BT365*$E365*$F365*$G365*$M365*$BU$12)/12*10+(BT365*$E365*$F365*$G365*$M365*$BU$13)/12+(BT365*$E365*$F365*$G365*$M365*$BU$13*$BU$15)/12</f>
        <v>291609.36630335997</v>
      </c>
      <c r="BV365" s="182">
        <v>9</v>
      </c>
      <c r="BW365" s="182">
        <f>(BV365*$E365*$F365*$G365*$M365*$BW$12)</f>
        <v>176693.076</v>
      </c>
      <c r="BX365" s="182">
        <v>8</v>
      </c>
      <c r="BY365" s="183">
        <f t="shared" si="1627"/>
        <v>235360.41258239996</v>
      </c>
      <c r="BZ365" s="182"/>
      <c r="CA365" s="187">
        <f>(BZ365*$E365*$F365*$G365*$M365*$CA$12)</f>
        <v>0</v>
      </c>
      <c r="CB365" s="182"/>
      <c r="CC365" s="182">
        <f>(CB365*$E365*$F365*$G365*$L365*$CC$12)</f>
        <v>0</v>
      </c>
      <c r="CD365" s="182"/>
      <c r="CE365" s="182">
        <f>(CD365*$E365*$F365*$G365*$L365*$CE$12)</f>
        <v>0</v>
      </c>
      <c r="CF365" s="182"/>
      <c r="CG365" s="182">
        <f>(CF365*$E365*$F365*$G365*$L365*$CG$12)</f>
        <v>0</v>
      </c>
      <c r="CH365" s="182">
        <v>6</v>
      </c>
      <c r="CI365" s="182">
        <f t="shared" ref="CI365" si="1633">(CH365*$E365*$F365*$G365*$M365*$CI$12)/12*11+(CH365*$E365*$F365*$G365*$M365*$CI$12*$CI$15)/12</f>
        <v>145861.44307559999</v>
      </c>
      <c r="CJ365" s="182"/>
      <c r="CK365" s="182"/>
      <c r="CL365" s="182"/>
      <c r="CM365" s="183">
        <f>(CL365*$E365*$F365*$G365*$L365*$CM$12)</f>
        <v>0</v>
      </c>
      <c r="CN365" s="182"/>
      <c r="CO365" s="183">
        <f>(CN365*$E365*$F365*$G365*$L365*$CO$12)</f>
        <v>0</v>
      </c>
      <c r="CP365" s="182"/>
      <c r="CQ365" s="182">
        <f>(CP365*$E365*$F365*$G365*$L365*$CQ$12)</f>
        <v>0</v>
      </c>
      <c r="CR365" s="182"/>
      <c r="CS365" s="182">
        <f>(CR365*$E365*$F365*$G365*$L365*$CS$12)</f>
        <v>0</v>
      </c>
      <c r="CT365" s="182">
        <v>38</v>
      </c>
      <c r="CU365" s="182">
        <f t="shared" si="1625"/>
        <v>725169.10716599994</v>
      </c>
      <c r="CV365" s="182">
        <v>2</v>
      </c>
      <c r="CW365" s="182">
        <v>32720.94</v>
      </c>
      <c r="CX365" s="182"/>
      <c r="CY365" s="182">
        <f>(CX365*$E365*$F365*$G365*$M365*$CY$12)</f>
        <v>0</v>
      </c>
      <c r="CZ365" s="182"/>
      <c r="DA365" s="182">
        <v>0</v>
      </c>
      <c r="DB365" s="188">
        <v>30</v>
      </c>
      <c r="DC365" s="182">
        <f>(DB365*$E365*$F365*$G365*$M365*$DC$12)</f>
        <v>588976.91999999993</v>
      </c>
      <c r="DD365" s="182"/>
      <c r="DE365" s="187"/>
      <c r="DF365" s="182"/>
      <c r="DG365" s="182">
        <f>(DF365*$E365*$F365*$G365*$M365*$DG$12)</f>
        <v>0</v>
      </c>
      <c r="DH365" s="189">
        <f>ROUND(9*0.75,0)</f>
        <v>7</v>
      </c>
      <c r="DI365" s="182">
        <f>(DH365*$E365*$F365*$G365*$M365*$DI$12)</f>
        <v>152697.72</v>
      </c>
      <c r="DJ365" s="182">
        <v>17</v>
      </c>
      <c r="DK365" s="182">
        <f t="shared" si="1629"/>
        <v>404098.33729300002</v>
      </c>
      <c r="DL365" s="182"/>
      <c r="DM365" s="182">
        <f>(DL365*$E365*$F365*$G365*$N365*$DM$12)</f>
        <v>0</v>
      </c>
      <c r="DN365" s="182">
        <f>ROUND(3*0.75,0)</f>
        <v>2</v>
      </c>
      <c r="DO365" s="190">
        <f>(DN365*$E365*$F365*$G365*$O365*$DO$12)</f>
        <v>66740.33</v>
      </c>
      <c r="DP365" s="187"/>
      <c r="DQ365" s="187"/>
      <c r="DR365" s="183">
        <f t="shared" si="1514"/>
        <v>304</v>
      </c>
      <c r="DS365" s="183">
        <f t="shared" si="1514"/>
        <v>6591915.1026138281</v>
      </c>
      <c r="DT365" s="182">
        <v>298</v>
      </c>
      <c r="DU365" s="182">
        <v>6248604.5138333337</v>
      </c>
      <c r="DV365" s="167">
        <f t="shared" si="1450"/>
        <v>6</v>
      </c>
      <c r="DW365" s="167">
        <f t="shared" si="1450"/>
        <v>343310.58878049441</v>
      </c>
    </row>
    <row r="366" spans="1:127" ht="30" customHeight="1" x14ac:dyDescent="0.25">
      <c r="A366" s="154"/>
      <c r="B366" s="176">
        <v>320</v>
      </c>
      <c r="C366" s="177" t="s">
        <v>805</v>
      </c>
      <c r="D366" s="210" t="s">
        <v>806</v>
      </c>
      <c r="E366" s="158">
        <v>25969</v>
      </c>
      <c r="F366" s="179">
        <v>0.37</v>
      </c>
      <c r="G366" s="168">
        <v>1</v>
      </c>
      <c r="H366" s="169"/>
      <c r="I366" s="169"/>
      <c r="J366" s="169"/>
      <c r="K366" s="106"/>
      <c r="L366" s="180">
        <v>1.4</v>
      </c>
      <c r="M366" s="180">
        <v>1.68</v>
      </c>
      <c r="N366" s="180">
        <v>2.23</v>
      </c>
      <c r="O366" s="181">
        <v>2.57</v>
      </c>
      <c r="P366" s="244">
        <v>40</v>
      </c>
      <c r="Q366" s="182">
        <f>(P366*$E366*$F366*$G366*$L366)</f>
        <v>538077.67999999993</v>
      </c>
      <c r="R366" s="182">
        <v>37</v>
      </c>
      <c r="S366" s="187">
        <f>(R366*$E366*$F366*$G366*$L366)</f>
        <v>497721.85399999993</v>
      </c>
      <c r="T366" s="182">
        <v>9</v>
      </c>
      <c r="U366" s="182">
        <f>(T366*$E366*$F366*$G366*$L366)</f>
        <v>121067.478</v>
      </c>
      <c r="V366" s="182"/>
      <c r="W366" s="182">
        <f>(V366*$E366*$F366*$G366*$L366)</f>
        <v>0</v>
      </c>
      <c r="X366" s="182"/>
      <c r="Y366" s="182">
        <v>0</v>
      </c>
      <c r="Z366" s="182"/>
      <c r="AA366" s="182">
        <v>0</v>
      </c>
      <c r="AB366" s="182">
        <f>X366+Z366</f>
        <v>0</v>
      </c>
      <c r="AC366" s="182">
        <f>Y366+AA366</f>
        <v>0</v>
      </c>
      <c r="AD366" s="182"/>
      <c r="AE366" s="182">
        <f>(AD366*$E366*$F366*$G366*$L366)</f>
        <v>0</v>
      </c>
      <c r="AF366" s="182"/>
      <c r="AG366" s="182"/>
      <c r="AH366" s="182"/>
      <c r="AI366" s="182">
        <f>(AH366*$E366*$F366*$G366*$L366)</f>
        <v>0</v>
      </c>
      <c r="AJ366" s="182"/>
      <c r="AK366" s="182"/>
      <c r="AL366" s="182"/>
      <c r="AM366" s="182"/>
      <c r="AN366" s="182">
        <v>19</v>
      </c>
      <c r="AO366" s="182">
        <v>242134.92</v>
      </c>
      <c r="AP366" s="182">
        <f>22-3</f>
        <v>19</v>
      </c>
      <c r="AQ366" s="182">
        <f>(AP366*$E366*$F366*$G366*$L366)</f>
        <v>255586.89799999999</v>
      </c>
      <c r="AR366" s="182">
        <v>6</v>
      </c>
      <c r="AS366" s="182">
        <f>(AR366*$E366*$F366*$G366*$L366)</f>
        <v>80711.652000000002</v>
      </c>
      <c r="AT366" s="182">
        <v>105</v>
      </c>
      <c r="AU366" s="183">
        <f>(AT366*$E366*$F366*$G366*$M366)</f>
        <v>1694944.692</v>
      </c>
      <c r="AV366" s="186">
        <v>0</v>
      </c>
      <c r="AW366" s="182">
        <v>0</v>
      </c>
      <c r="AX366" s="182">
        <v>5</v>
      </c>
      <c r="AY366" s="187">
        <f>(AX366*$E366*$F366*$G366*$M366)</f>
        <v>80711.652000000002</v>
      </c>
      <c r="AZ366" s="182"/>
      <c r="BA366" s="182">
        <f>(AZ366*$E366*$F366*$G366*$L366*$AO$12)</f>
        <v>0</v>
      </c>
      <c r="BB366" s="182">
        <v>0</v>
      </c>
      <c r="BC366" s="182">
        <f>(BB366*$E366*$F366*$G366*$L366*BC$12)</f>
        <v>0</v>
      </c>
      <c r="BD366" s="182"/>
      <c r="BE366" s="182">
        <f>(BD366*$E366*$F366*$G366*$L366*BE$12)</f>
        <v>0</v>
      </c>
      <c r="BF366" s="182"/>
      <c r="BG366" s="182">
        <f>(BF366*$E366*$F366*$G366*$L366)</f>
        <v>0</v>
      </c>
      <c r="BH366" s="182"/>
      <c r="BI366" s="182">
        <f t="shared" ref="BI366" si="1634">(BH366*$E366*$F366*$G366*$L366)</f>
        <v>0</v>
      </c>
      <c r="BJ366" s="182"/>
      <c r="BK366" s="182"/>
      <c r="BL366" s="182"/>
      <c r="BM366" s="182">
        <f>(BL366*$E366*$F366*$G366*$L366)</f>
        <v>0</v>
      </c>
      <c r="BN366" s="182">
        <v>15</v>
      </c>
      <c r="BO366" s="182">
        <f>(BN366*$E366*$F366*$G366*$M366)</f>
        <v>242134.95600000001</v>
      </c>
      <c r="BP366" s="182"/>
      <c r="BQ366" s="182">
        <f>(BP366*$E366*$F366*$G366*$M366)</f>
        <v>0</v>
      </c>
      <c r="BR366" s="182"/>
      <c r="BS366" s="182">
        <f>(BR366*$E366*$F366*$G366*$M366)</f>
        <v>0</v>
      </c>
      <c r="BT366" s="182">
        <v>16</v>
      </c>
      <c r="BU366" s="182">
        <f>(BT366*$E366*$F366*$G366*$M366)</f>
        <v>258277.28640000001</v>
      </c>
      <c r="BV366" s="182">
        <v>9</v>
      </c>
      <c r="BW366" s="182">
        <f>(BV366*$E366*$F366*$G366*$M366)</f>
        <v>145280.9736</v>
      </c>
      <c r="BX366" s="182">
        <v>10</v>
      </c>
      <c r="BY366" s="182">
        <f>(BX366*$E366*$F366*$G366*$M366)</f>
        <v>161423.304</v>
      </c>
      <c r="BZ366" s="182">
        <v>16</v>
      </c>
      <c r="CA366" s="187">
        <f>(BZ366*$E366*$F366*$G366*$M366)</f>
        <v>258277.28640000001</v>
      </c>
      <c r="CB366" s="182"/>
      <c r="CC366" s="182">
        <f>(CB366*$E366*$F366*$G366*$L366)</f>
        <v>0</v>
      </c>
      <c r="CD366" s="182"/>
      <c r="CE366" s="183">
        <f>(CD366*$E366*$F366*$G366*$L366)</f>
        <v>0</v>
      </c>
      <c r="CF366" s="182"/>
      <c r="CG366" s="182">
        <f>(CF366*$E366*$F366*$G366*$L366)</f>
        <v>0</v>
      </c>
      <c r="CH366" s="182">
        <v>4</v>
      </c>
      <c r="CI366" s="182">
        <f>(CH366*$E366*$F366*$G366*$M366)</f>
        <v>64569.321600000003</v>
      </c>
      <c r="CJ366" s="182"/>
      <c r="CK366" s="182"/>
      <c r="CL366" s="182"/>
      <c r="CM366" s="182">
        <f>(CL366*$E366*$F366*$G366*$L366)</f>
        <v>0</v>
      </c>
      <c r="CN366" s="182"/>
      <c r="CO366" s="182">
        <f>(CN366*$E366*$F366*$G366*$L366)</f>
        <v>0</v>
      </c>
      <c r="CP366" s="182"/>
      <c r="CQ366" s="182">
        <f>(CP366*$E366*$F366*$G366*$L366)</f>
        <v>0</v>
      </c>
      <c r="CR366" s="182">
        <v>10</v>
      </c>
      <c r="CS366" s="182">
        <f>(CR366*$E366*$F366*$G366*$L366)</f>
        <v>134519.41999999998</v>
      </c>
      <c r="CT366" s="182">
        <v>45</v>
      </c>
      <c r="CU366" s="182">
        <f>(CT366*$E366*$F366*$G366*$L366)</f>
        <v>605337.3899999999</v>
      </c>
      <c r="CV366" s="182">
        <v>34</v>
      </c>
      <c r="CW366" s="182">
        <v>557564.80000000005</v>
      </c>
      <c r="CX366" s="182">
        <v>47</v>
      </c>
      <c r="CY366" s="182">
        <f>(CX366*$E366*$F366*$G366*$M366)</f>
        <v>758689.52879999997</v>
      </c>
      <c r="CZ366" s="182"/>
      <c r="DA366" s="182">
        <v>0</v>
      </c>
      <c r="DB366" s="188">
        <v>6</v>
      </c>
      <c r="DC366" s="182">
        <f>(DB366*$E366*$F366*$G366*$M366)</f>
        <v>96853.982399999994</v>
      </c>
      <c r="DD366" s="182"/>
      <c r="DE366" s="187">
        <f>(DD366*$E366*$F366*$G366*$M366)</f>
        <v>0</v>
      </c>
      <c r="DF366" s="182"/>
      <c r="DG366" s="182"/>
      <c r="DH366" s="189">
        <f>ROUND(23*0.75,0)</f>
        <v>17</v>
      </c>
      <c r="DI366" s="182">
        <f>(DH366*$E366*$F366*$G366*$M366)</f>
        <v>274419.61680000002</v>
      </c>
      <c r="DJ366" s="182">
        <v>26</v>
      </c>
      <c r="DK366" s="182">
        <f>(DJ366*$E366*$F366*$G366*$M366)</f>
        <v>419700.59039999999</v>
      </c>
      <c r="DL366" s="182">
        <f>ROUND(20*0.75,0)</f>
        <v>15</v>
      </c>
      <c r="DM366" s="182">
        <f>(DL366*$E366*$F366*$G366*$N366)</f>
        <v>321405.3285</v>
      </c>
      <c r="DN366" s="182">
        <f>ROUND(8*0.75,0)</f>
        <v>6</v>
      </c>
      <c r="DO366" s="187">
        <f>(DN366*$E366*$F366*$G366*$O366)</f>
        <v>148163.53260000001</v>
      </c>
      <c r="DP366" s="187"/>
      <c r="DQ366" s="187"/>
      <c r="DR366" s="183">
        <f t="shared" si="1514"/>
        <v>516</v>
      </c>
      <c r="DS366" s="183">
        <f t="shared" si="1514"/>
        <v>7957574.1434999974</v>
      </c>
      <c r="DT366" s="182">
        <v>512</v>
      </c>
      <c r="DU366" s="182">
        <v>7903766.3754999982</v>
      </c>
      <c r="DV366" s="167">
        <f t="shared" si="1450"/>
        <v>4</v>
      </c>
      <c r="DW366" s="167">
        <f t="shared" si="1450"/>
        <v>53807.767999999225</v>
      </c>
    </row>
    <row r="367" spans="1:127" ht="36" customHeight="1" x14ac:dyDescent="0.25">
      <c r="A367" s="154"/>
      <c r="B367" s="176">
        <v>321</v>
      </c>
      <c r="C367" s="177" t="s">
        <v>807</v>
      </c>
      <c r="D367" s="210" t="s">
        <v>808</v>
      </c>
      <c r="E367" s="158">
        <v>25969</v>
      </c>
      <c r="F367" s="179">
        <v>1.19</v>
      </c>
      <c r="G367" s="168">
        <v>1</v>
      </c>
      <c r="H367" s="169"/>
      <c r="I367" s="169"/>
      <c r="J367" s="169"/>
      <c r="K367" s="106"/>
      <c r="L367" s="180">
        <v>1.4</v>
      </c>
      <c r="M367" s="180">
        <v>1.68</v>
      </c>
      <c r="N367" s="180">
        <v>2.23</v>
      </c>
      <c r="O367" s="181">
        <v>2.57</v>
      </c>
      <c r="P367" s="182">
        <v>1</v>
      </c>
      <c r="Q367" s="182">
        <f>(P367*$E367*$F367*$G367*$L367*$Q$12)</f>
        <v>47590.789399999994</v>
      </c>
      <c r="R367" s="182">
        <v>3</v>
      </c>
      <c r="S367" s="182">
        <f>(R367*$E367*$F367*$G367*$L367*$S$12)</f>
        <v>142772.3682</v>
      </c>
      <c r="T367" s="182">
        <v>10</v>
      </c>
      <c r="U367" s="182">
        <f t="shared" ref="U367" si="1635">(T367/12*11*$E367*$F367*$G367*$L367*$U$12)+(T367/12*1*$E367*$F367*$G367*$L367*$U$14)</f>
        <v>546212.46924999997</v>
      </c>
      <c r="V367" s="182"/>
      <c r="W367" s="183">
        <f>(V367*$E367*$F367*$G367*$L367*$W$12)/12*10+(V367*$E367*$F367*$G367*$L367*$W$13)/12*1++(V367*$E367*$F367*$G367*$L367*$W$14)/12*1</f>
        <v>0</v>
      </c>
      <c r="X367" s="183">
        <v>53</v>
      </c>
      <c r="Y367" s="183">
        <v>3210215.0667999992</v>
      </c>
      <c r="Z367" s="183">
        <v>10</v>
      </c>
      <c r="AA367" s="183">
        <v>726841.14719999989</v>
      </c>
      <c r="AB367" s="182">
        <f>X367+Z367</f>
        <v>63</v>
      </c>
      <c r="AC367" s="182">
        <f>Y367+AA367</f>
        <v>3937056.2139999992</v>
      </c>
      <c r="AD367" s="182"/>
      <c r="AE367" s="182">
        <f>(AD367*$E367*$F367*$G367*$L367*$AE$12)</f>
        <v>0</v>
      </c>
      <c r="AF367" s="182"/>
      <c r="AG367" s="182"/>
      <c r="AH367" s="182">
        <v>3</v>
      </c>
      <c r="AI367" s="182">
        <f>(AH367*$E367*$F367*$G367*$L367*$AI$12)</f>
        <v>142772.3682</v>
      </c>
      <c r="AJ367" s="182"/>
      <c r="AK367" s="182"/>
      <c r="AL367" s="182"/>
      <c r="AM367" s="182"/>
      <c r="AN367" s="182">
        <v>0</v>
      </c>
      <c r="AO367" s="182">
        <f>(AN367*$E367*$F367*$G367*$L367*$AO$12)</f>
        <v>0</v>
      </c>
      <c r="AP367" s="182">
        <v>4</v>
      </c>
      <c r="AQ367" s="183">
        <f>(AP367*$E367*$F367*$G367*$L367*$AQ$12)</f>
        <v>190363.15759999998</v>
      </c>
      <c r="AR367" s="182">
        <v>1</v>
      </c>
      <c r="AS367" s="182">
        <f>(AR367*$E367*$F367*$G367*$L367*$AS$12)/12*10+(AR367*$E367*$F367*$G367*$L367*$AS$13)/12*1+(AR367*$E367*$F367*$L367*$G367*$AS$14*$AS$15)/12*1</f>
        <v>51375.699302433321</v>
      </c>
      <c r="AT367" s="182"/>
      <c r="AU367" s="182">
        <f>(AT367*$E367*$F367*$G367*$M367*$AU$12)</f>
        <v>0</v>
      </c>
      <c r="AV367" s="188">
        <v>108</v>
      </c>
      <c r="AW367" s="182">
        <v>7838981.2600000147</v>
      </c>
      <c r="AX367" s="182">
        <v>1</v>
      </c>
      <c r="AY367" s="187">
        <f>(AX367*$E367*$F367*$G367*$M367*$AY$12)</f>
        <v>57108.94728</v>
      </c>
      <c r="AZ367" s="182"/>
      <c r="BA367" s="182">
        <f>(AZ367*$E367*$F367*$G367*$L367*$BA$12)</f>
        <v>0</v>
      </c>
      <c r="BB367" s="182"/>
      <c r="BC367" s="182">
        <f>(BB367*$E367*$F367*$G367*$L367*$BC$12)</f>
        <v>0</v>
      </c>
      <c r="BD367" s="182"/>
      <c r="BE367" s="182">
        <f>(BD367*$E367*$F367*$G367*$L367*$BE$12)</f>
        <v>0</v>
      </c>
      <c r="BF367" s="182"/>
      <c r="BG367" s="182">
        <f>(BF367*$E367*$F367*$G367*$L367*$BG$12)</f>
        <v>0</v>
      </c>
      <c r="BH367" s="182"/>
      <c r="BI367" s="183">
        <f>(BH367*$E367*$F367*$G367*$L367*$BI$12)</f>
        <v>0</v>
      </c>
      <c r="BJ367" s="182"/>
      <c r="BK367" s="183">
        <f>(BJ367*$E367*$F367*$G367*$L367*$BK$12)</f>
        <v>0</v>
      </c>
      <c r="BL367" s="182"/>
      <c r="BM367" s="182">
        <f>(BL367*$E367*$F367*$G367*$L367*$BM$12)</f>
        <v>0</v>
      </c>
      <c r="BN367" s="182">
        <v>1</v>
      </c>
      <c r="BO367" s="182">
        <f>(BN367*$E367*$F367*$G367*$M367*$BO$12)</f>
        <v>57108.94728</v>
      </c>
      <c r="BP367" s="182"/>
      <c r="BQ367" s="182">
        <f>(BP367*$E367*$F367*$G367*$M367*$BQ$12)</f>
        <v>0</v>
      </c>
      <c r="BR367" s="182"/>
      <c r="BS367" s="183">
        <f>(BR367*$E367*$F367*$G367*$M367*$BS$12)</f>
        <v>0</v>
      </c>
      <c r="BT367" s="182"/>
      <c r="BU367" s="182">
        <f>(BT367*$E367*$F367*$G367*$M367*$BU$12)</f>
        <v>0</v>
      </c>
      <c r="BV367" s="182"/>
      <c r="BW367" s="182">
        <f>(BV367*$E367*$F367*$G367*$M367*$BW$12)</f>
        <v>0</v>
      </c>
      <c r="BX367" s="182"/>
      <c r="BY367" s="183">
        <f>(BX367*$E367*$F367*$G367*$M367*$BY$12)</f>
        <v>0</v>
      </c>
      <c r="BZ367" s="182">
        <v>7</v>
      </c>
      <c r="CA367" s="187">
        <f t="shared" ref="CA367" si="1636">(BZ367*$E367*$F367*$G367*$M367*$CA$12)/12*11+(BZ367*$E367*$F367*$G367*$M367*$CA$12*$CA$15)/12</f>
        <v>474963.43315217987</v>
      </c>
      <c r="CB367" s="182"/>
      <c r="CC367" s="182">
        <f>(CB367*$E367*$F367*$G367*$L367*$CC$12)</f>
        <v>0</v>
      </c>
      <c r="CD367" s="182"/>
      <c r="CE367" s="182">
        <f>(CD367*$E367*$F367*$G367*$L367*$CE$12)</f>
        <v>0</v>
      </c>
      <c r="CF367" s="182">
        <v>20</v>
      </c>
      <c r="CG367" s="182">
        <f>(CF367*$E367*$F367*$G367*$L367*$CG$12)</f>
        <v>865287.07999999984</v>
      </c>
      <c r="CH367" s="182"/>
      <c r="CI367" s="182">
        <f>(CH367*$E367*$F367*$G367*$M367*$CI$12)</f>
        <v>0</v>
      </c>
      <c r="CJ367" s="182"/>
      <c r="CK367" s="182"/>
      <c r="CL367" s="182"/>
      <c r="CM367" s="183">
        <f>(CL367*$E367*$F367*$G367*$L367*$CM$12)</f>
        <v>0</v>
      </c>
      <c r="CN367" s="182"/>
      <c r="CO367" s="183">
        <f>(CN367*$E367*$F367*$G367*$L367*$CO$12)</f>
        <v>0</v>
      </c>
      <c r="CP367" s="182"/>
      <c r="CQ367" s="182">
        <f>(CP367*$E367*$F367*$G367*$L367*$CQ$12)</f>
        <v>0</v>
      </c>
      <c r="CR367" s="182"/>
      <c r="CS367" s="182">
        <f>(CR367*$E367*$F367*$G367*$L367*$CS$12)</f>
        <v>0</v>
      </c>
      <c r="CT367" s="182"/>
      <c r="CU367" s="182">
        <f>(CT367*$E367*$F367*$G367*$L367*$CU$12)</f>
        <v>0</v>
      </c>
      <c r="CV367" s="182"/>
      <c r="CW367" s="182">
        <v>0</v>
      </c>
      <c r="CX367" s="182"/>
      <c r="CY367" s="182">
        <f>(CX367*$E367*$F367*$G367*$M367*$CY$12)</f>
        <v>0</v>
      </c>
      <c r="CZ367" s="182"/>
      <c r="DA367" s="182">
        <v>0</v>
      </c>
      <c r="DB367" s="188"/>
      <c r="DC367" s="182">
        <f>(DB367*$E367*$F367*$G367*$M367*$DC$12)</f>
        <v>0</v>
      </c>
      <c r="DD367" s="182"/>
      <c r="DE367" s="187"/>
      <c r="DF367" s="182"/>
      <c r="DG367" s="182">
        <f>(DF367*$E367*$F367*$G367*$M367*$DG$12)</f>
        <v>0</v>
      </c>
      <c r="DH367" s="189"/>
      <c r="DI367" s="182">
        <f>(DH367*$E367*$F367*$G367*$M367*$DI$12)</f>
        <v>0</v>
      </c>
      <c r="DJ367" s="182"/>
      <c r="DK367" s="182">
        <f>(DJ367*$E367*$F367*$G367*$M367*$DK$12)</f>
        <v>0</v>
      </c>
      <c r="DL367" s="182"/>
      <c r="DM367" s="182">
        <f>(DL367*$E367*$F367*$G367*$N367*$DM$12)</f>
        <v>0</v>
      </c>
      <c r="DN367" s="182">
        <f>ROUND(1*0.75,0)</f>
        <v>1</v>
      </c>
      <c r="DO367" s="190">
        <f>(DN367*$E367*$F367*$G367*$O367*$DO$12)</f>
        <v>79420.992699999988</v>
      </c>
      <c r="DP367" s="187"/>
      <c r="DQ367" s="187"/>
      <c r="DR367" s="183">
        <f t="shared" si="1514"/>
        <v>223</v>
      </c>
      <c r="DS367" s="183">
        <f t="shared" si="1514"/>
        <v>14431013.726364627</v>
      </c>
      <c r="DT367" s="182">
        <v>228</v>
      </c>
      <c r="DU367" s="182">
        <v>14784181.737476666</v>
      </c>
      <c r="DV367" s="167">
        <f t="shared" si="1450"/>
        <v>-5</v>
      </c>
      <c r="DW367" s="167">
        <f t="shared" si="1450"/>
        <v>-353168.01111203805</v>
      </c>
    </row>
    <row r="368" spans="1:127" ht="15.75" customHeight="1" x14ac:dyDescent="0.25">
      <c r="A368" s="170">
        <v>32</v>
      </c>
      <c r="B368" s="197"/>
      <c r="C368" s="198"/>
      <c r="D368" s="211" t="s">
        <v>809</v>
      </c>
      <c r="E368" s="158">
        <v>25969</v>
      </c>
      <c r="F368" s="199">
        <v>1.2</v>
      </c>
      <c r="G368" s="171"/>
      <c r="H368" s="169"/>
      <c r="I368" s="169"/>
      <c r="J368" s="169"/>
      <c r="K368" s="173"/>
      <c r="L368" s="174">
        <v>1.4</v>
      </c>
      <c r="M368" s="174">
        <v>1.68</v>
      </c>
      <c r="N368" s="174">
        <v>2.23</v>
      </c>
      <c r="O368" s="175">
        <v>2.57</v>
      </c>
      <c r="P368" s="166">
        <f t="shared" ref="P368:AD368" si="1637">SUM(P369:P387)</f>
        <v>1123</v>
      </c>
      <c r="Q368" s="166">
        <f t="shared" si="1637"/>
        <v>72119387.652199998</v>
      </c>
      <c r="R368" s="166">
        <f t="shared" si="1637"/>
        <v>458</v>
      </c>
      <c r="S368" s="166">
        <f t="shared" si="1637"/>
        <v>25213214.844159994</v>
      </c>
      <c r="T368" s="166">
        <f t="shared" si="1637"/>
        <v>389</v>
      </c>
      <c r="U368" s="166">
        <f t="shared" si="1637"/>
        <v>24702390.071519997</v>
      </c>
      <c r="V368" s="166">
        <f t="shared" si="1637"/>
        <v>1</v>
      </c>
      <c r="W368" s="166">
        <f t="shared" si="1637"/>
        <v>124376.91846902935</v>
      </c>
      <c r="X368" s="166">
        <v>118</v>
      </c>
      <c r="Y368" s="166">
        <v>8095015.1295999978</v>
      </c>
      <c r="Z368" s="166">
        <v>6</v>
      </c>
      <c r="AA368" s="166">
        <v>486189.54047999985</v>
      </c>
      <c r="AB368" s="166">
        <f t="shared" si="1637"/>
        <v>124</v>
      </c>
      <c r="AC368" s="166">
        <f t="shared" si="1637"/>
        <v>8581204.6700799968</v>
      </c>
      <c r="AD368" s="166">
        <f t="shared" si="1637"/>
        <v>0</v>
      </c>
      <c r="AE368" s="166">
        <f t="shared" ref="AE368:CP368" si="1638">SUM(AE369:AE387)</f>
        <v>0</v>
      </c>
      <c r="AF368" s="166">
        <f t="shared" si="1638"/>
        <v>0</v>
      </c>
      <c r="AG368" s="166">
        <f t="shared" si="1638"/>
        <v>0</v>
      </c>
      <c r="AH368" s="166">
        <f t="shared" si="1638"/>
        <v>405</v>
      </c>
      <c r="AI368" s="166">
        <f t="shared" si="1638"/>
        <v>23558058.815200005</v>
      </c>
      <c r="AJ368" s="166">
        <f>SUM(AJ369:AJ387)</f>
        <v>0</v>
      </c>
      <c r="AK368" s="166">
        <f>SUM(AK369:AK387)</f>
        <v>0</v>
      </c>
      <c r="AL368" s="166">
        <f t="shared" si="1638"/>
        <v>0</v>
      </c>
      <c r="AM368" s="166">
        <f t="shared" si="1638"/>
        <v>0</v>
      </c>
      <c r="AN368" s="166">
        <f t="shared" si="1638"/>
        <v>0</v>
      </c>
      <c r="AO368" s="166">
        <f t="shared" si="1638"/>
        <v>0</v>
      </c>
      <c r="AP368" s="166">
        <f t="shared" si="1638"/>
        <v>940</v>
      </c>
      <c r="AQ368" s="166">
        <f t="shared" si="1638"/>
        <v>51510714.38408</v>
      </c>
      <c r="AR368" s="166">
        <f t="shared" si="1638"/>
        <v>1156</v>
      </c>
      <c r="AS368" s="166">
        <f t="shared" si="1638"/>
        <v>57510512.55723194</v>
      </c>
      <c r="AT368" s="166">
        <f t="shared" si="1638"/>
        <v>492</v>
      </c>
      <c r="AU368" s="166">
        <f t="shared" si="1638"/>
        <v>27604786.390317213</v>
      </c>
      <c r="AV368" s="166">
        <f t="shared" si="1638"/>
        <v>67</v>
      </c>
      <c r="AW368" s="166">
        <f t="shared" si="1638"/>
        <v>5913856.1700000027</v>
      </c>
      <c r="AX368" s="166">
        <f t="shared" si="1638"/>
        <v>50</v>
      </c>
      <c r="AY368" s="166">
        <f t="shared" si="1638"/>
        <v>3058971.6108000004</v>
      </c>
      <c r="AZ368" s="166">
        <f t="shared" si="1638"/>
        <v>0</v>
      </c>
      <c r="BA368" s="166">
        <f t="shared" si="1638"/>
        <v>0</v>
      </c>
      <c r="BB368" s="166">
        <f t="shared" si="1638"/>
        <v>0</v>
      </c>
      <c r="BC368" s="166">
        <f t="shared" si="1638"/>
        <v>0</v>
      </c>
      <c r="BD368" s="166">
        <f t="shared" si="1638"/>
        <v>0</v>
      </c>
      <c r="BE368" s="166">
        <f t="shared" si="1638"/>
        <v>0</v>
      </c>
      <c r="BF368" s="166">
        <f t="shared" si="1638"/>
        <v>0</v>
      </c>
      <c r="BG368" s="166">
        <f t="shared" si="1638"/>
        <v>0</v>
      </c>
      <c r="BH368" s="166">
        <f t="shared" si="1638"/>
        <v>0</v>
      </c>
      <c r="BI368" s="166">
        <f t="shared" si="1638"/>
        <v>0</v>
      </c>
      <c r="BJ368" s="166">
        <f t="shared" si="1638"/>
        <v>0</v>
      </c>
      <c r="BK368" s="166">
        <f t="shared" si="1638"/>
        <v>0</v>
      </c>
      <c r="BL368" s="166">
        <f t="shared" si="1638"/>
        <v>98</v>
      </c>
      <c r="BM368" s="166">
        <f t="shared" si="1638"/>
        <v>5249862.6153428555</v>
      </c>
      <c r="BN368" s="166">
        <f t="shared" si="1638"/>
        <v>318</v>
      </c>
      <c r="BO368" s="166">
        <f t="shared" si="1638"/>
        <v>15866724.103775999</v>
      </c>
      <c r="BP368" s="166">
        <f t="shared" si="1638"/>
        <v>0</v>
      </c>
      <c r="BQ368" s="166">
        <f t="shared" si="1638"/>
        <v>0</v>
      </c>
      <c r="BR368" s="166">
        <f t="shared" si="1638"/>
        <v>0</v>
      </c>
      <c r="BS368" s="166">
        <f t="shared" si="1638"/>
        <v>0</v>
      </c>
      <c r="BT368" s="166">
        <f t="shared" si="1638"/>
        <v>108</v>
      </c>
      <c r="BU368" s="166">
        <f t="shared" si="1638"/>
        <v>5449741.6595533397</v>
      </c>
      <c r="BV368" s="166">
        <f t="shared" si="1638"/>
        <v>0</v>
      </c>
      <c r="BW368" s="166">
        <f t="shared" si="1638"/>
        <v>0</v>
      </c>
      <c r="BX368" s="166">
        <f t="shared" si="1638"/>
        <v>36</v>
      </c>
      <c r="BY368" s="166">
        <f t="shared" si="1638"/>
        <v>1491281.5339027198</v>
      </c>
      <c r="BZ368" s="166">
        <f t="shared" si="1638"/>
        <v>166</v>
      </c>
      <c r="CA368" s="166">
        <f t="shared" si="1638"/>
        <v>9374293.5304120202</v>
      </c>
      <c r="CB368" s="166">
        <f t="shared" si="1638"/>
        <v>0</v>
      </c>
      <c r="CC368" s="166">
        <f t="shared" si="1638"/>
        <v>0</v>
      </c>
      <c r="CD368" s="166">
        <f t="shared" si="1638"/>
        <v>0</v>
      </c>
      <c r="CE368" s="166">
        <f t="shared" si="1638"/>
        <v>0</v>
      </c>
      <c r="CF368" s="166">
        <f t="shared" si="1638"/>
        <v>122</v>
      </c>
      <c r="CG368" s="166">
        <f t="shared" si="1638"/>
        <v>7112078.0919999992</v>
      </c>
      <c r="CH368" s="166">
        <f t="shared" si="1638"/>
        <v>39</v>
      </c>
      <c r="CI368" s="166">
        <f t="shared" si="1638"/>
        <v>2073036.2382900908</v>
      </c>
      <c r="CJ368" s="166">
        <f t="shared" si="1638"/>
        <v>0</v>
      </c>
      <c r="CK368" s="166">
        <f t="shared" si="1638"/>
        <v>0</v>
      </c>
      <c r="CL368" s="166">
        <f t="shared" si="1638"/>
        <v>0</v>
      </c>
      <c r="CM368" s="166">
        <f t="shared" si="1638"/>
        <v>0</v>
      </c>
      <c r="CN368" s="166">
        <f t="shared" si="1638"/>
        <v>55</v>
      </c>
      <c r="CO368" s="166">
        <f t="shared" si="1638"/>
        <v>1719667.18</v>
      </c>
      <c r="CP368" s="166">
        <f t="shared" si="1638"/>
        <v>46</v>
      </c>
      <c r="CQ368" s="166">
        <f t="shared" ref="CQ368:DQ368" si="1639">SUM(CQ369:CQ387)</f>
        <v>1445456.1628281598</v>
      </c>
      <c r="CR368" s="166">
        <f t="shared" si="1639"/>
        <v>89</v>
      </c>
      <c r="CS368" s="166">
        <f t="shared" si="1639"/>
        <v>4641089.4196332628</v>
      </c>
      <c r="CT368" s="166">
        <f t="shared" si="1639"/>
        <v>39</v>
      </c>
      <c r="CU368" s="166">
        <f t="shared" si="1639"/>
        <v>1412687.682938</v>
      </c>
      <c r="CV368" s="166">
        <f t="shared" si="1639"/>
        <v>218</v>
      </c>
      <c r="CW368" s="166">
        <v>13602112.330000004</v>
      </c>
      <c r="CX368" s="166">
        <f t="shared" si="1639"/>
        <v>138</v>
      </c>
      <c r="CY368" s="166">
        <f t="shared" si="1639"/>
        <v>6276099.0552869607</v>
      </c>
      <c r="CZ368" s="166">
        <f t="shared" si="1639"/>
        <v>0</v>
      </c>
      <c r="DA368" s="166">
        <v>0</v>
      </c>
      <c r="DB368" s="166">
        <f t="shared" si="1639"/>
        <v>0</v>
      </c>
      <c r="DC368" s="166">
        <f t="shared" si="1639"/>
        <v>0</v>
      </c>
      <c r="DD368" s="166">
        <f t="shared" si="1639"/>
        <v>0</v>
      </c>
      <c r="DE368" s="166">
        <f t="shared" si="1639"/>
        <v>0</v>
      </c>
      <c r="DF368" s="166">
        <f t="shared" si="1639"/>
        <v>1</v>
      </c>
      <c r="DG368" s="166">
        <f t="shared" si="1639"/>
        <v>31848.381599999997</v>
      </c>
      <c r="DH368" s="166">
        <f t="shared" si="1639"/>
        <v>1</v>
      </c>
      <c r="DI368" s="166">
        <f t="shared" si="1639"/>
        <v>37520.011200000001</v>
      </c>
      <c r="DJ368" s="166">
        <f t="shared" si="1639"/>
        <v>19</v>
      </c>
      <c r="DK368" s="166">
        <f t="shared" si="1639"/>
        <v>766316.46361157997</v>
      </c>
      <c r="DL368" s="166">
        <f t="shared" si="1639"/>
        <v>0</v>
      </c>
      <c r="DM368" s="166">
        <f t="shared" si="1639"/>
        <v>0</v>
      </c>
      <c r="DN368" s="166">
        <f t="shared" si="1639"/>
        <v>5</v>
      </c>
      <c r="DO368" s="166">
        <f t="shared" si="1639"/>
        <v>470919.76847999997</v>
      </c>
      <c r="DP368" s="166">
        <f t="shared" si="1639"/>
        <v>0</v>
      </c>
      <c r="DQ368" s="166">
        <f t="shared" si="1639"/>
        <v>0</v>
      </c>
      <c r="DR368" s="166">
        <f>SUM(DR369:DR387)</f>
        <v>6703</v>
      </c>
      <c r="DS368" s="166">
        <f t="shared" ref="DS368" si="1640">SUM(DS369:DS387)</f>
        <v>376918208.3129133</v>
      </c>
      <c r="DT368" s="166">
        <v>6731</v>
      </c>
      <c r="DU368" s="166">
        <v>375274720.34801263</v>
      </c>
      <c r="DV368" s="167">
        <f t="shared" si="1450"/>
        <v>-28</v>
      </c>
      <c r="DW368" s="167">
        <f t="shared" si="1450"/>
        <v>1643487.9649006724</v>
      </c>
    </row>
    <row r="369" spans="1:127" ht="30" customHeight="1" x14ac:dyDescent="0.25">
      <c r="A369" s="154"/>
      <c r="B369" s="176">
        <v>322</v>
      </c>
      <c r="C369" s="177" t="s">
        <v>810</v>
      </c>
      <c r="D369" s="210" t="s">
        <v>811</v>
      </c>
      <c r="E369" s="158">
        <v>25969</v>
      </c>
      <c r="F369" s="179">
        <v>1.1499999999999999</v>
      </c>
      <c r="G369" s="168">
        <v>1</v>
      </c>
      <c r="H369" s="169"/>
      <c r="I369" s="169"/>
      <c r="J369" s="169"/>
      <c r="K369" s="106"/>
      <c r="L369" s="180">
        <v>1.4</v>
      </c>
      <c r="M369" s="180">
        <v>1.68</v>
      </c>
      <c r="N369" s="180">
        <v>2.23</v>
      </c>
      <c r="O369" s="181">
        <v>2.57</v>
      </c>
      <c r="P369" s="244">
        <v>28</v>
      </c>
      <c r="Q369" s="182">
        <f>(P369*$E369*$F369*$G369*$L369*$Q$12)</f>
        <v>1287750.7719999999</v>
      </c>
      <c r="R369" s="182">
        <v>28</v>
      </c>
      <c r="S369" s="182">
        <f>(R369*$E369*$F369*$G369*$L369*$S$12)</f>
        <v>1287750.7719999999</v>
      </c>
      <c r="T369" s="182">
        <v>3</v>
      </c>
      <c r="U369" s="182">
        <f t="shared" ref="U369:U371" si="1641">(T369/12*11*$E369*$F369*$G369*$L369*$U$12)+(T369/12*1*$E369*$F369*$G369*$L369*$U$14)</f>
        <v>158355.71587499999</v>
      </c>
      <c r="V369" s="182"/>
      <c r="W369" s="183">
        <f t="shared" ref="W369:W371" si="1642">(V369*$E369*$F369*$G369*$L369*$W$12)/12*10+(V369*$E369*$F369*$G369*$L369*$W$13)/12*1++(V369*$E369*$F369*$G369*$L369*$W$14)/12*1</f>
        <v>0</v>
      </c>
      <c r="X369" s="183"/>
      <c r="Y369" s="183">
        <v>0</v>
      </c>
      <c r="Z369" s="183"/>
      <c r="AA369" s="183">
        <v>0</v>
      </c>
      <c r="AB369" s="182">
        <f t="shared" ref="AB369:AC371" si="1643">X369+Z369</f>
        <v>0</v>
      </c>
      <c r="AC369" s="182">
        <f t="shared" si="1643"/>
        <v>0</v>
      </c>
      <c r="AD369" s="182"/>
      <c r="AE369" s="182">
        <f>(AD369*$E369*$F369*$G369*$L369*$AE$12)</f>
        <v>0</v>
      </c>
      <c r="AF369" s="182"/>
      <c r="AG369" s="182"/>
      <c r="AH369" s="182">
        <v>10</v>
      </c>
      <c r="AI369" s="182">
        <f>(AH369*$E369*$F369*$G369*$L369*$AI$12)</f>
        <v>459910.99</v>
      </c>
      <c r="AJ369" s="182"/>
      <c r="AK369" s="182"/>
      <c r="AL369" s="182"/>
      <c r="AM369" s="182"/>
      <c r="AN369" s="184"/>
      <c r="AO369" s="182">
        <f>(AN369*$E369*$F369*$G369*$L369*$AO$12)</f>
        <v>0</v>
      </c>
      <c r="AP369" s="182">
        <f>45-18</f>
        <v>27</v>
      </c>
      <c r="AQ369" s="183">
        <f>(AP369*$E369*$F369*$G369*$L369*$AQ$12)</f>
        <v>1241759.673</v>
      </c>
      <c r="AR369" s="182">
        <v>46</v>
      </c>
      <c r="AS369" s="182">
        <f t="shared" ref="AS369:AS371" si="1644">(AR369*$E369*$F369*$G369*$L369*$AS$12)/12*10+(AR369*$E369*$F369*$G369*$L369*$AS$13)/12*1+(AR369*$E369*$F369*$L369*$G369*$AS$14*$AS$15)/12*1</f>
        <v>2283844.1118476666</v>
      </c>
      <c r="AT369" s="182">
        <f>70-7</f>
        <v>63</v>
      </c>
      <c r="AU369" s="182">
        <f t="shared" ref="AU369:AU371" si="1645">(AT369*$E369*$F369*$G369*$M369*$AU$12)/12*10+(AT369*$E369*$F369*$G369*$M369*$AU$13)/12+(AT369*$E369*$F369*$G369*$M369*$AU$14*$AU$15)/12</f>
        <v>3642553.6669081971</v>
      </c>
      <c r="AV369" s="186"/>
      <c r="AW369" s="182">
        <f>(AV369*$E369*$F369*$G369*$M369*$AW$12)</f>
        <v>0</v>
      </c>
      <c r="AX369" s="182">
        <v>2</v>
      </c>
      <c r="AY369" s="187">
        <f>(AX369*$E369*$F369*$G369*$M369*$AY$12)</f>
        <v>110378.63759999999</v>
      </c>
      <c r="AZ369" s="182"/>
      <c r="BA369" s="182">
        <f>(AZ369*$E369*$F369*$G369*$L369*$BA$12)</f>
        <v>0</v>
      </c>
      <c r="BB369" s="182"/>
      <c r="BC369" s="182">
        <f>(BB369*$E369*$F369*$G369*$L369*$BC$12)</f>
        <v>0</v>
      </c>
      <c r="BD369" s="182"/>
      <c r="BE369" s="182">
        <f>(BD369*$E369*$F369*$G369*$L369*$BE$12)</f>
        <v>0</v>
      </c>
      <c r="BF369" s="182"/>
      <c r="BG369" s="182">
        <f>(BF369*$E369*$F369*$G369*$L369*$BG$12)</f>
        <v>0</v>
      </c>
      <c r="BH369" s="182"/>
      <c r="BI369" s="183">
        <f>(BH369*$E369*$F369*$G369*$L369*$BI$12)</f>
        <v>0</v>
      </c>
      <c r="BJ369" s="182"/>
      <c r="BK369" s="183">
        <f>(BJ369*$E369*$F369*$G369*$L369*$BK$12)</f>
        <v>0</v>
      </c>
      <c r="BL369" s="182">
        <v>12</v>
      </c>
      <c r="BM369" s="182">
        <f t="shared" ref="BM369:BM370" si="1646">(BL369/12*11*$E369*$F369*$G369*$L369*$BM$12)+(BL369/12*$E369*$F369*$G369*$L369*$BM$12*$BM$15)</f>
        <v>700341.41770823987</v>
      </c>
      <c r="BN369" s="182">
        <v>35</v>
      </c>
      <c r="BO369" s="182">
        <f>(BN369*$E369*$F369*$G369*$M369*$BO$12)</f>
        <v>1931626.1579999998</v>
      </c>
      <c r="BP369" s="182"/>
      <c r="BQ369" s="182">
        <f>(BP369*$E369*$F369*$G369*$M369*$BQ$12)</f>
        <v>0</v>
      </c>
      <c r="BR369" s="182"/>
      <c r="BS369" s="183">
        <f>(BR369*$E369*$F369*$G369*$M369*$BS$12)</f>
        <v>0</v>
      </c>
      <c r="BT369" s="182">
        <v>10</v>
      </c>
      <c r="BU369" s="182">
        <f t="shared" ref="BU369:BU370" si="1647">(BT369*$E369*$F369*$G369*$M369*$BU$12)/12*10+(BT369*$E369*$F369*$G369*$M369*$BU$13)/12+(BT369*$E369*$F369*$G369*$M369*$BU$13*$BU$15)/12</f>
        <v>558917.95208144002</v>
      </c>
      <c r="BV369" s="182"/>
      <c r="BW369" s="182">
        <f>(BV369*$E369*$F369*$G369*$M369*$BW$12)</f>
        <v>0</v>
      </c>
      <c r="BX369" s="182">
        <v>2</v>
      </c>
      <c r="BY369" s="183">
        <f t="shared" ref="BY369" si="1648">(BX369*$E369*$F369*$G369*$M369*$BY$12)/12*11+(BX369*$E369*$F369*$G369*$M369*$BY$12*$BY$15)/12</f>
        <v>135332.23723487998</v>
      </c>
      <c r="BZ369" s="182">
        <v>24</v>
      </c>
      <c r="CA369" s="187">
        <f t="shared" ref="CA369:CA371" si="1649">(BZ369*$E369*$F369*$G369*$M369*$CA$12)/12*11+(BZ369*$E369*$F369*$G369*$M369*$CA$12*$CA$15)/12</f>
        <v>1573708.3739495995</v>
      </c>
      <c r="CB369" s="182"/>
      <c r="CC369" s="182">
        <f>(CB369*$E369*$F369*$G369*$L369*$CC$12)</f>
        <v>0</v>
      </c>
      <c r="CD369" s="182"/>
      <c r="CE369" s="182">
        <f>(CD369*$E369*$F369*$G369*$L369*$CE$12)</f>
        <v>0</v>
      </c>
      <c r="CF369" s="182"/>
      <c r="CG369" s="182">
        <f>(CF369*$E369*$F369*$G369*$L369*$CG$12)</f>
        <v>0</v>
      </c>
      <c r="CH369" s="182">
        <v>2</v>
      </c>
      <c r="CI369" s="182">
        <f t="shared" ref="CI369" si="1650">(CH369*$E369*$F369*$G369*$M369*$CI$12)/12*11+(CH369*$E369*$F369*$G369*$M369*$CI$12*$CI$15)/12</f>
        <v>111827.10635795997</v>
      </c>
      <c r="CJ369" s="182"/>
      <c r="CK369" s="182"/>
      <c r="CL369" s="182"/>
      <c r="CM369" s="183">
        <f>(CL369*$E369*$F369*$G369*$L369*$CM$12)</f>
        <v>0</v>
      </c>
      <c r="CN369" s="182"/>
      <c r="CO369" s="183">
        <f>(CN369*$E369*$F369*$G369*$L369*$CO$12)</f>
        <v>0</v>
      </c>
      <c r="CP369" s="182">
        <v>5</v>
      </c>
      <c r="CQ369" s="182">
        <f t="shared" ref="CQ369:CQ370" si="1651">(CP369*$E369*$F369*$G369*$L369*$CQ$12)/12*11+(CP369*$E369*$F369*$G369*$L369*$CQ$12*$CQ$15)/12</f>
        <v>231694.79474399996</v>
      </c>
      <c r="CR369" s="182">
        <v>2</v>
      </c>
      <c r="CS369" s="182">
        <f t="shared" ref="CS369:CS370" si="1652">(CR369*$E369*$F369*$G369*$L369*$CS$12)/12*10+(CR369*$E369*$F369*$G369*$L369*$CS$13)/12+(CR369*$E369*$F369*$G369*$L369*$CS$13*$CS$15)/12</f>
        <v>100249.58582963332</v>
      </c>
      <c r="CT369" s="182">
        <v>8</v>
      </c>
      <c r="CU369" s="182">
        <f t="shared" ref="CU369" si="1653">(CT369*$E369*$F369*$G369*$L369*$CU$12)/12*11+(CT369*$E369*$F369*$G369*$L369*$CU$12*$CU$15)/12</f>
        <v>351134.51504879992</v>
      </c>
      <c r="CV369" s="182">
        <v>27</v>
      </c>
      <c r="CW369" s="182">
        <v>1344612.5500000005</v>
      </c>
      <c r="CX369" s="182">
        <v>13</v>
      </c>
      <c r="CY369" s="182">
        <f t="shared" ref="CY369:CY370" si="1654">(CX369/12*11*$E369*$F369*$G369*$M369*$CY$12)+(CX369/12*$E369*$F369*$G369*$M369*$CY$15*$CY$12)</f>
        <v>703888.08402275993</v>
      </c>
      <c r="CZ369" s="182"/>
      <c r="DA369" s="182">
        <v>0</v>
      </c>
      <c r="DB369" s="188"/>
      <c r="DC369" s="182">
        <f>(DB369*$E369*$F369*$G369*$M369*$DC$12)</f>
        <v>0</v>
      </c>
      <c r="DD369" s="182"/>
      <c r="DE369" s="187"/>
      <c r="DF369" s="182"/>
      <c r="DG369" s="182">
        <f>(DF369*$E369*$F369*$G369*$M369*$DG$12)</f>
        <v>0</v>
      </c>
      <c r="DH369" s="189"/>
      <c r="DI369" s="182">
        <f>(DH369*$E369*$F369*$G369*$M369*$DI$12)</f>
        <v>0</v>
      </c>
      <c r="DJ369" s="182"/>
      <c r="DK369" s="182">
        <f t="shared" ref="DK369:DK371" si="1655">(DJ369/12*11*$E369*$F369*$G369*$M369*$DK$12)+(DJ369/12*1*$E369*$F369*$M369*$G369*$DK$12*$DK$15)</f>
        <v>0</v>
      </c>
      <c r="DL369" s="182"/>
      <c r="DM369" s="182">
        <f>(DL369*$E369*$F369*$G369*$N369*$DM$12)</f>
        <v>0</v>
      </c>
      <c r="DN369" s="182">
        <f>ROUND(2*0.75,0)</f>
        <v>2</v>
      </c>
      <c r="DO369" s="190">
        <f>(DN369*$E369*$F369*$G369*$O369*$DO$12)</f>
        <v>153502.75899999999</v>
      </c>
      <c r="DP369" s="187"/>
      <c r="DQ369" s="187"/>
      <c r="DR369" s="183">
        <f t="shared" ref="DR369:DS387" si="1656">SUM(P369,R369,T369,V369,AB369,AJ369,AD369,AF369,AH369,AL369,AN369,AP369,AV369,AZ369,BB369,CF369,AR369,BF369,BH369,BJ369,CT369,BL369,BN369,AT369,BR369,AX369,CV369,BT369,CX369,BV369,BX369,BZ369,CH369,CB369,CD369,CJ369,CL369,CN369,CP369,CR369,CZ369,DB369,BP369,BD369,DD369,DF369,DH369,DJ369,DL369,DN369,DP369)</f>
        <v>349</v>
      </c>
      <c r="DS369" s="183">
        <f t="shared" si="1656"/>
        <v>18369139.873208173</v>
      </c>
      <c r="DT369" s="182">
        <v>356</v>
      </c>
      <c r="DU369" s="182">
        <v>18128636.074366663</v>
      </c>
      <c r="DV369" s="167">
        <f t="shared" si="1450"/>
        <v>-7</v>
      </c>
      <c r="DW369" s="167">
        <f t="shared" si="1450"/>
        <v>240503.79884150997</v>
      </c>
    </row>
    <row r="370" spans="1:127" ht="30" customHeight="1" x14ac:dyDescent="0.25">
      <c r="A370" s="154"/>
      <c r="B370" s="176">
        <v>323</v>
      </c>
      <c r="C370" s="177" t="s">
        <v>812</v>
      </c>
      <c r="D370" s="210" t="s">
        <v>813</v>
      </c>
      <c r="E370" s="158">
        <v>25969</v>
      </c>
      <c r="F370" s="179">
        <v>1.43</v>
      </c>
      <c r="G370" s="168">
        <v>1</v>
      </c>
      <c r="H370" s="169"/>
      <c r="I370" s="169"/>
      <c r="J370" s="169"/>
      <c r="K370" s="106"/>
      <c r="L370" s="180">
        <v>1.4</v>
      </c>
      <c r="M370" s="180">
        <v>1.68</v>
      </c>
      <c r="N370" s="180">
        <v>2.23</v>
      </c>
      <c r="O370" s="181">
        <v>2.57</v>
      </c>
      <c r="P370" s="244">
        <v>360</v>
      </c>
      <c r="Q370" s="182">
        <f>(P370*$E370*$F370*$G370*$L370*$Q$12)</f>
        <v>20588015.447999999</v>
      </c>
      <c r="R370" s="182">
        <v>80</v>
      </c>
      <c r="S370" s="182">
        <f>(R370*$E370*$F370*$G370*$L370*$S$12)</f>
        <v>4575114.5440000007</v>
      </c>
      <c r="T370" s="182"/>
      <c r="U370" s="182">
        <f t="shared" si="1641"/>
        <v>0</v>
      </c>
      <c r="V370" s="182"/>
      <c r="W370" s="183">
        <f t="shared" si="1642"/>
        <v>0</v>
      </c>
      <c r="X370" s="183">
        <v>2</v>
      </c>
      <c r="Y370" s="183">
        <v>145571.82639999996</v>
      </c>
      <c r="Z370" s="183">
        <v>1</v>
      </c>
      <c r="AA370" s="183">
        <v>87343.095839999994</v>
      </c>
      <c r="AB370" s="182">
        <f t="shared" si="1643"/>
        <v>3</v>
      </c>
      <c r="AC370" s="182">
        <f t="shared" si="1643"/>
        <v>232914.92223999996</v>
      </c>
      <c r="AD370" s="182"/>
      <c r="AE370" s="182">
        <f>(AD370*$E370*$F370*$G370*$L370*$AE$12)</f>
        <v>0</v>
      </c>
      <c r="AF370" s="182"/>
      <c r="AG370" s="182"/>
      <c r="AH370" s="182">
        <v>110</v>
      </c>
      <c r="AI370" s="182">
        <f>(AH370*$E370*$F370*$G370*$L370*$AI$12)</f>
        <v>6290782.4980000006</v>
      </c>
      <c r="AJ370" s="182"/>
      <c r="AK370" s="182"/>
      <c r="AL370" s="182"/>
      <c r="AM370" s="182"/>
      <c r="AN370" s="184"/>
      <c r="AO370" s="182">
        <f>(AN370*$E370*$F370*$G370*$L370*$AO$12)</f>
        <v>0</v>
      </c>
      <c r="AP370" s="182">
        <v>150</v>
      </c>
      <c r="AQ370" s="183">
        <f>(AP370*$E370*$F370*$G370*$L370*$AQ$12)</f>
        <v>8578339.7699999996</v>
      </c>
      <c r="AR370" s="182">
        <v>268</v>
      </c>
      <c r="AS370" s="182">
        <f t="shared" si="1644"/>
        <v>16545565.54677693</v>
      </c>
      <c r="AT370" s="182">
        <v>37</v>
      </c>
      <c r="AU370" s="182">
        <f t="shared" si="1645"/>
        <v>2660145.1278966572</v>
      </c>
      <c r="AV370" s="188">
        <v>3</v>
      </c>
      <c r="AW370" s="182">
        <v>262029.30000000002</v>
      </c>
      <c r="AX370" s="182">
        <v>13</v>
      </c>
      <c r="AY370" s="187">
        <f>(AX370*$E370*$F370*$G370*$M370*$AY$12)</f>
        <v>892147.33608000004</v>
      </c>
      <c r="AZ370" s="182"/>
      <c r="BA370" s="182">
        <f>(AZ370*$E370*$F370*$G370*$L370*$BA$12)</f>
        <v>0</v>
      </c>
      <c r="BB370" s="182"/>
      <c r="BC370" s="182">
        <f>(BB370*$E370*$F370*$G370*$L370*$BC$12)</f>
        <v>0</v>
      </c>
      <c r="BD370" s="182"/>
      <c r="BE370" s="182">
        <f>(BD370*$E370*$F370*$G370*$L370*$BE$12)</f>
        <v>0</v>
      </c>
      <c r="BF370" s="182"/>
      <c r="BG370" s="182">
        <f>(BF370*$E370*$F370*$G370*$L370*$BG$12)</f>
        <v>0</v>
      </c>
      <c r="BH370" s="182"/>
      <c r="BI370" s="183">
        <f>(BH370*$E370*$F370*$G370*$L370*$BI$12)</f>
        <v>0</v>
      </c>
      <c r="BJ370" s="182"/>
      <c r="BK370" s="183">
        <f>(BJ370*$E370*$F370*$G370*$L370*$BK$12)</f>
        <v>0</v>
      </c>
      <c r="BL370" s="182">
        <v>9</v>
      </c>
      <c r="BM370" s="182">
        <f t="shared" si="1646"/>
        <v>653144.49608007586</v>
      </c>
      <c r="BN370" s="182">
        <v>20</v>
      </c>
      <c r="BO370" s="182">
        <f>(BN370*$E370*$F370*$G370*$M370*$BO$12)</f>
        <v>1372534.3632000003</v>
      </c>
      <c r="BP370" s="182"/>
      <c r="BQ370" s="182">
        <f>(BP370*$E370*$F370*$G370*$M370*$BQ$12)</f>
        <v>0</v>
      </c>
      <c r="BR370" s="182"/>
      <c r="BS370" s="183">
        <f>(BR370*$E370*$F370*$G370*$M370*$BS$12)</f>
        <v>0</v>
      </c>
      <c r="BT370" s="182">
        <v>5</v>
      </c>
      <c r="BU370" s="182">
        <f t="shared" si="1647"/>
        <v>347501.16151150397</v>
      </c>
      <c r="BV370" s="182"/>
      <c r="BW370" s="182">
        <f>(BV370*$E370*$F370*$G370*$M370*$BW$12)</f>
        <v>0</v>
      </c>
      <c r="BX370" s="182"/>
      <c r="BY370" s="183">
        <f>(BX370*$E370*$F370*$G370*$M370*$BY$12)</f>
        <v>0</v>
      </c>
      <c r="BZ370" s="182">
        <v>20</v>
      </c>
      <c r="CA370" s="187">
        <f t="shared" si="1649"/>
        <v>1630726.7932956002</v>
      </c>
      <c r="CB370" s="182"/>
      <c r="CC370" s="182">
        <f>(CB370*$E370*$F370*$G370*$L370*$CC$12)</f>
        <v>0</v>
      </c>
      <c r="CD370" s="182"/>
      <c r="CE370" s="182">
        <f>(CD370*$E370*$F370*$G370*$L370*$CE$12)</f>
        <v>0</v>
      </c>
      <c r="CF370" s="182">
        <v>30</v>
      </c>
      <c r="CG370" s="182">
        <f>(CF370*$E370*$F370*$G370*$L370*$CG$12)</f>
        <v>1559698.1399999997</v>
      </c>
      <c r="CH370" s="182"/>
      <c r="CI370" s="182">
        <f>(CH370*$E370*$F370*$G370*$M370*$CI$12)</f>
        <v>0</v>
      </c>
      <c r="CJ370" s="182"/>
      <c r="CK370" s="182"/>
      <c r="CL370" s="182"/>
      <c r="CM370" s="183">
        <f>(CL370*$E370*$F370*$G370*$L370*$CM$12)</f>
        <v>0</v>
      </c>
      <c r="CN370" s="182"/>
      <c r="CO370" s="183">
        <f>(CN370*$E370*$F370*$G370*$L370*$CO$12)</f>
        <v>0</v>
      </c>
      <c r="CP370" s="182">
        <v>1</v>
      </c>
      <c r="CQ370" s="182">
        <f t="shared" si="1651"/>
        <v>57621.488084159995</v>
      </c>
      <c r="CR370" s="182">
        <v>10</v>
      </c>
      <c r="CS370" s="182">
        <f t="shared" si="1652"/>
        <v>623290.90320163337</v>
      </c>
      <c r="CT370" s="182"/>
      <c r="CU370" s="182">
        <f>(CT370*$E370*$F370*$G370*$L370*$CU$12)</f>
        <v>0</v>
      </c>
      <c r="CV370" s="182">
        <v>44</v>
      </c>
      <c r="CW370" s="182">
        <v>2745068.9200000009</v>
      </c>
      <c r="CX370" s="182">
        <v>2</v>
      </c>
      <c r="CY370" s="182">
        <f t="shared" si="1654"/>
        <v>134656.85085652798</v>
      </c>
      <c r="CZ370" s="182"/>
      <c r="DA370" s="182">
        <v>0</v>
      </c>
      <c r="DB370" s="188"/>
      <c r="DC370" s="182">
        <f>(DB370*$E370*$F370*$G370*$M370*$DC$12)</f>
        <v>0</v>
      </c>
      <c r="DD370" s="182"/>
      <c r="DE370" s="187"/>
      <c r="DF370" s="182"/>
      <c r="DG370" s="182">
        <f>(DF370*$E370*$F370*$G370*$M370*$DG$12)</f>
        <v>0</v>
      </c>
      <c r="DH370" s="189"/>
      <c r="DI370" s="182">
        <f>(DH370*$E370*$F370*$G370*$M370*$DI$12)</f>
        <v>0</v>
      </c>
      <c r="DJ370" s="182"/>
      <c r="DK370" s="182">
        <f t="shared" si="1655"/>
        <v>0</v>
      </c>
      <c r="DL370" s="182"/>
      <c r="DM370" s="182">
        <f>(DL370*$E370*$F370*$G370*$N370*$DM$12)</f>
        <v>0</v>
      </c>
      <c r="DN370" s="182"/>
      <c r="DO370" s="190">
        <f>(DN370*$E370*$F370*$G370*$O370*$DO$12)</f>
        <v>0</v>
      </c>
      <c r="DP370" s="187"/>
      <c r="DQ370" s="187"/>
      <c r="DR370" s="183">
        <f t="shared" si="1656"/>
        <v>1165</v>
      </c>
      <c r="DS370" s="183">
        <f t="shared" si="1656"/>
        <v>69749297.609223112</v>
      </c>
      <c r="DT370" s="182">
        <v>1186</v>
      </c>
      <c r="DU370" s="182">
        <v>69977936.842219979</v>
      </c>
      <c r="DV370" s="167">
        <f t="shared" si="1450"/>
        <v>-21</v>
      </c>
      <c r="DW370" s="167">
        <f t="shared" si="1450"/>
        <v>-228639.23299686611</v>
      </c>
    </row>
    <row r="371" spans="1:127" ht="30" customHeight="1" x14ac:dyDescent="0.25">
      <c r="A371" s="154"/>
      <c r="B371" s="176">
        <v>324</v>
      </c>
      <c r="C371" s="177" t="s">
        <v>814</v>
      </c>
      <c r="D371" s="210" t="s">
        <v>815</v>
      </c>
      <c r="E371" s="158">
        <v>25969</v>
      </c>
      <c r="F371" s="168">
        <v>3</v>
      </c>
      <c r="G371" s="243">
        <v>0.8</v>
      </c>
      <c r="H371" s="242"/>
      <c r="I371" s="242"/>
      <c r="J371" s="242"/>
      <c r="K371" s="106"/>
      <c r="L371" s="180">
        <v>1.4</v>
      </c>
      <c r="M371" s="180">
        <v>1.68</v>
      </c>
      <c r="N371" s="180">
        <v>2.23</v>
      </c>
      <c r="O371" s="181">
        <v>2.57</v>
      </c>
      <c r="P371" s="244">
        <v>135</v>
      </c>
      <c r="Q371" s="182">
        <f>(P371*$E371*$F371*$G371*$L371*$Q$12)</f>
        <v>12957492.24</v>
      </c>
      <c r="R371" s="182">
        <v>7</v>
      </c>
      <c r="S371" s="182">
        <f>(R371*$E371*$F371*$G371*$L371*$S$12)</f>
        <v>671869.96800000011</v>
      </c>
      <c r="T371" s="182"/>
      <c r="U371" s="182">
        <f t="shared" si="1641"/>
        <v>0</v>
      </c>
      <c r="V371" s="182"/>
      <c r="W371" s="183">
        <f t="shared" si="1642"/>
        <v>0</v>
      </c>
      <c r="X371" s="183"/>
      <c r="Y371" s="183">
        <v>0</v>
      </c>
      <c r="Z371" s="183"/>
      <c r="AA371" s="183">
        <v>0</v>
      </c>
      <c r="AB371" s="182">
        <f t="shared" si="1643"/>
        <v>0</v>
      </c>
      <c r="AC371" s="182">
        <f t="shared" si="1643"/>
        <v>0</v>
      </c>
      <c r="AD371" s="182"/>
      <c r="AE371" s="182">
        <f>(AD371*$E371*$F371*$G371*$L371*$AE$12)</f>
        <v>0</v>
      </c>
      <c r="AF371" s="182"/>
      <c r="AG371" s="182"/>
      <c r="AH371" s="182">
        <v>55</v>
      </c>
      <c r="AI371" s="182">
        <f>(AH371*$E371*$F371*$G371*$L371*$AI$12)</f>
        <v>5278978.3199999994</v>
      </c>
      <c r="AJ371" s="182"/>
      <c r="AK371" s="182"/>
      <c r="AL371" s="182"/>
      <c r="AM371" s="182"/>
      <c r="AN371" s="184"/>
      <c r="AO371" s="182">
        <f>(AN371*$E371*$F371*$G371*$L371*$AO$12)</f>
        <v>0</v>
      </c>
      <c r="AP371" s="182">
        <f>76+18</f>
        <v>94</v>
      </c>
      <c r="AQ371" s="183">
        <f>(AP371*$E371*$F371*$G371*$L371*$AQ$12)</f>
        <v>9022253.8560000006</v>
      </c>
      <c r="AR371" s="182">
        <v>16</v>
      </c>
      <c r="AS371" s="182">
        <f t="shared" si="1644"/>
        <v>1657837.6917760002</v>
      </c>
      <c r="AT371" s="182">
        <v>10</v>
      </c>
      <c r="AU371" s="182">
        <f t="shared" si="1645"/>
        <v>1206643.0366569599</v>
      </c>
      <c r="AV371" s="186">
        <v>0</v>
      </c>
      <c r="AW371" s="182">
        <v>0</v>
      </c>
      <c r="AX371" s="182"/>
      <c r="AY371" s="187">
        <f>(AX371*$E371*$F371*$G371*$M371*$AY$12)</f>
        <v>0</v>
      </c>
      <c r="AZ371" s="182"/>
      <c r="BA371" s="182">
        <f>(AZ371*$E371*$F371*$G371*$L371*$BA$12)</f>
        <v>0</v>
      </c>
      <c r="BB371" s="182"/>
      <c r="BC371" s="182">
        <f>(BB371*$E371*$F371*$G371*$L371*$BC$12)</f>
        <v>0</v>
      </c>
      <c r="BD371" s="182"/>
      <c r="BE371" s="182">
        <f>(BD371*$E371*$F371*$G371*$L371*$BE$12)</f>
        <v>0</v>
      </c>
      <c r="BF371" s="182"/>
      <c r="BG371" s="182">
        <f>(BF371*$E371*$F371*$G371*$L371*$BG$12)</f>
        <v>0</v>
      </c>
      <c r="BH371" s="182"/>
      <c r="BI371" s="183">
        <f>(BH371*$E371*$F371*$G371*$L371*$BI$12)</f>
        <v>0</v>
      </c>
      <c r="BJ371" s="182"/>
      <c r="BK371" s="183">
        <f>(BJ371*$E371*$F371*$G371*$L371*$BK$12)</f>
        <v>0</v>
      </c>
      <c r="BL371" s="182"/>
      <c r="BM371" s="182">
        <f>(BL371*$E371*$F371*$G371*$L371*$BM$12)</f>
        <v>0</v>
      </c>
      <c r="BN371" s="182">
        <v>6</v>
      </c>
      <c r="BO371" s="182">
        <f>(BN371*$E371*$F371*$G371*$M371*$BO$12)</f>
        <v>691066.25280000013</v>
      </c>
      <c r="BP371" s="182"/>
      <c r="BQ371" s="182">
        <f>(BP371*$E371*$F371*$G371*$M371*$BQ$12)</f>
        <v>0</v>
      </c>
      <c r="BR371" s="182"/>
      <c r="BS371" s="183">
        <f>(BR371*$E371*$F371*$G371*$M371*$BS$12)</f>
        <v>0</v>
      </c>
      <c r="BT371" s="182"/>
      <c r="BU371" s="182">
        <f>(BT371*$E371*$F371*$G371*$M371*$BU$12)</f>
        <v>0</v>
      </c>
      <c r="BV371" s="182"/>
      <c r="BW371" s="182">
        <f>(BV371*$E371*$F371*$G371*$M371*$BW$12)</f>
        <v>0</v>
      </c>
      <c r="BX371" s="182"/>
      <c r="BY371" s="183">
        <f>(BX371*$E371*$F371*$G371*$M371*$BY$12)</f>
        <v>0</v>
      </c>
      <c r="BZ371" s="182">
        <v>1</v>
      </c>
      <c r="CA371" s="187">
        <f t="shared" si="1649"/>
        <v>136844.20643039999</v>
      </c>
      <c r="CB371" s="182"/>
      <c r="CC371" s="182">
        <f>(CB371*$E371*$F371*$G371*$L371*$CC$12)</f>
        <v>0</v>
      </c>
      <c r="CD371" s="182"/>
      <c r="CE371" s="182">
        <f>(CD371*$E371*$F371*$G371*$L371*$CE$12)</f>
        <v>0</v>
      </c>
      <c r="CF371" s="182"/>
      <c r="CG371" s="182">
        <f>(CF371*$E371*$F371*$G371*$L371*$CG$12)</f>
        <v>0</v>
      </c>
      <c r="CH371" s="182"/>
      <c r="CI371" s="182">
        <f>(CH371*$E371*$F371*$G371*$M371*$CI$12)</f>
        <v>0</v>
      </c>
      <c r="CJ371" s="182"/>
      <c r="CK371" s="182"/>
      <c r="CL371" s="182"/>
      <c r="CM371" s="183">
        <f>(CL371*$E371*$F371*$G371*$L371*$CM$12)</f>
        <v>0</v>
      </c>
      <c r="CN371" s="182"/>
      <c r="CO371" s="183">
        <f>(CN371*$E371*$F371*$G371*$L371*$CO$12)</f>
        <v>0</v>
      </c>
      <c r="CP371" s="182"/>
      <c r="CQ371" s="182">
        <f>(CP371*$E371*$F371*$G371*$L371*$CQ$12)</f>
        <v>0</v>
      </c>
      <c r="CR371" s="182"/>
      <c r="CS371" s="182">
        <f t="shared" ref="CS371" si="1657">(CR371*$E371*$F371*$G371*$L371*$CS$12)/12*10+(CR371*$E371*$F371*$G371*$L371*$CS$13)/12*2</f>
        <v>0</v>
      </c>
      <c r="CT371" s="182"/>
      <c r="CU371" s="182">
        <f>(CT371*$E371*$F371*$G371*$L371*$CU$12)</f>
        <v>0</v>
      </c>
      <c r="CV371" s="182">
        <v>1</v>
      </c>
      <c r="CW371" s="182">
        <v>104707.01</v>
      </c>
      <c r="CX371" s="182"/>
      <c r="CY371" s="182">
        <f>(CX371*$E371*$F371*$G371*$M371*$CY$12)</f>
        <v>0</v>
      </c>
      <c r="CZ371" s="182"/>
      <c r="DA371" s="182">
        <v>0</v>
      </c>
      <c r="DB371" s="188"/>
      <c r="DC371" s="182">
        <f>(DB371*$E371*$F371*$G371*$M371*$DC$12)</f>
        <v>0</v>
      </c>
      <c r="DD371" s="182"/>
      <c r="DE371" s="187"/>
      <c r="DF371" s="182"/>
      <c r="DG371" s="182">
        <f>(DF371*$E371*$F371*$G371*$M371*$DG$12)</f>
        <v>0</v>
      </c>
      <c r="DH371" s="189"/>
      <c r="DI371" s="182">
        <f>(DH371*$E371*$F371*$G371*$M371*$DI$12)</f>
        <v>0</v>
      </c>
      <c r="DJ371" s="182"/>
      <c r="DK371" s="182">
        <f t="shared" si="1655"/>
        <v>0</v>
      </c>
      <c r="DL371" s="182"/>
      <c r="DM371" s="182">
        <f>(DL371*$E371*$F371*$G371*$N371*$DM$12)</f>
        <v>0</v>
      </c>
      <c r="DN371" s="182"/>
      <c r="DO371" s="190">
        <f>(DN371*$E371*$F371*$G371*$O371*$DO$12)</f>
        <v>0</v>
      </c>
      <c r="DP371" s="187"/>
      <c r="DQ371" s="187"/>
      <c r="DR371" s="183">
        <f t="shared" si="1656"/>
        <v>325</v>
      </c>
      <c r="DS371" s="183">
        <f t="shared" si="1656"/>
        <v>31727692.581663366</v>
      </c>
      <c r="DT371" s="182">
        <v>327</v>
      </c>
      <c r="DU371" s="182">
        <v>31824531.672400001</v>
      </c>
      <c r="DV371" s="167">
        <f t="shared" si="1450"/>
        <v>-2</v>
      </c>
      <c r="DW371" s="167">
        <f t="shared" si="1450"/>
        <v>-96839.090736635029</v>
      </c>
    </row>
    <row r="372" spans="1:127" ht="30" customHeight="1" x14ac:dyDescent="0.25">
      <c r="A372" s="154"/>
      <c r="B372" s="176">
        <v>325</v>
      </c>
      <c r="C372" s="177" t="s">
        <v>816</v>
      </c>
      <c r="D372" s="210" t="s">
        <v>817</v>
      </c>
      <c r="E372" s="158">
        <v>25969</v>
      </c>
      <c r="F372" s="168">
        <v>4.3</v>
      </c>
      <c r="G372" s="168">
        <v>1</v>
      </c>
      <c r="H372" s="169"/>
      <c r="I372" s="169"/>
      <c r="J372" s="169"/>
      <c r="K372" s="106"/>
      <c r="L372" s="180">
        <v>1.4</v>
      </c>
      <c r="M372" s="180">
        <v>1.68</v>
      </c>
      <c r="N372" s="180">
        <v>2.23</v>
      </c>
      <c r="O372" s="181">
        <v>2.57</v>
      </c>
      <c r="P372" s="244">
        <v>8</v>
      </c>
      <c r="Q372" s="182">
        <f>(P372*$E372*$F372*$G372*$L372)</f>
        <v>1250667.0399999998</v>
      </c>
      <c r="R372" s="182"/>
      <c r="S372" s="187">
        <f>(R372*$E372*$F372*$G372*$L372)</f>
        <v>0</v>
      </c>
      <c r="T372" s="182"/>
      <c r="U372" s="182">
        <f>(T372*$E372*$F372*$G372*$L372)</f>
        <v>0</v>
      </c>
      <c r="V372" s="182"/>
      <c r="W372" s="182">
        <f>(V372*$E372*$F372*$G372*$L372)</f>
        <v>0</v>
      </c>
      <c r="X372" s="182"/>
      <c r="Y372" s="182">
        <v>0</v>
      </c>
      <c r="Z372" s="182"/>
      <c r="AA372" s="182">
        <v>0</v>
      </c>
      <c r="AB372" s="182">
        <f>X372+Z372</f>
        <v>0</v>
      </c>
      <c r="AC372" s="182">
        <f>Y372+AA372</f>
        <v>0</v>
      </c>
      <c r="AD372" s="182"/>
      <c r="AE372" s="182">
        <f>(AD372*$E372*$F372*$G372*$L372)</f>
        <v>0</v>
      </c>
      <c r="AF372" s="182"/>
      <c r="AG372" s="182"/>
      <c r="AH372" s="182"/>
      <c r="AI372" s="182">
        <f>(AH372*$E372*$F372*$G372*$L372)</f>
        <v>0</v>
      </c>
      <c r="AJ372" s="182"/>
      <c r="AK372" s="182"/>
      <c r="AL372" s="182"/>
      <c r="AM372" s="182"/>
      <c r="AN372" s="184"/>
      <c r="AO372" s="182">
        <f>(AN372*$E372*$F372*$G372*$L372)</f>
        <v>0</v>
      </c>
      <c r="AP372" s="182">
        <v>15</v>
      </c>
      <c r="AQ372" s="182">
        <f>(AP372*$E372*$F372*$G372*$L372)</f>
        <v>2345000.6999999997</v>
      </c>
      <c r="AR372" s="182">
        <v>1</v>
      </c>
      <c r="AS372" s="182">
        <f>(AR372*$E372*$F372*$G372*$L372)</f>
        <v>156333.37999999998</v>
      </c>
      <c r="AT372" s="182"/>
      <c r="AU372" s="183">
        <f>(AT372*$E372*$F372*$G372*$M372)</f>
        <v>0</v>
      </c>
      <c r="AV372" s="188">
        <v>0</v>
      </c>
      <c r="AW372" s="182">
        <v>0</v>
      </c>
      <c r="AX372" s="182"/>
      <c r="AY372" s="187">
        <f>(AX372*$E372*$F372*$G372*$M372)</f>
        <v>0</v>
      </c>
      <c r="AZ372" s="182"/>
      <c r="BA372" s="182">
        <f>(AZ372*$E372*$F372*$G372*$L372*$AO$12)</f>
        <v>0</v>
      </c>
      <c r="BB372" s="182">
        <v>0</v>
      </c>
      <c r="BC372" s="182">
        <f>(BB372*$E372*$F372*$G372*$L372*BC$12)</f>
        <v>0</v>
      </c>
      <c r="BD372" s="182"/>
      <c r="BE372" s="182">
        <f>(BD372*$E372*$F372*$G372*$L372*BE$12)</f>
        <v>0</v>
      </c>
      <c r="BF372" s="182"/>
      <c r="BG372" s="182">
        <f>(BF372*$E372*$F372*$G372*$L372)</f>
        <v>0</v>
      </c>
      <c r="BH372" s="182"/>
      <c r="BI372" s="182">
        <f t="shared" ref="BI372" si="1658">(BH372*$E372*$F372*$G372*$L372)</f>
        <v>0</v>
      </c>
      <c r="BJ372" s="182"/>
      <c r="BK372" s="182"/>
      <c r="BL372" s="182"/>
      <c r="BM372" s="182">
        <f>(BL372*$E372*$F372*$G372*$L372)</f>
        <v>0</v>
      </c>
      <c r="BN372" s="182">
        <v>1</v>
      </c>
      <c r="BO372" s="182">
        <f>(BN372*$E372*$F372*$G372*$M372)</f>
        <v>187600.05599999998</v>
      </c>
      <c r="BP372" s="182"/>
      <c r="BQ372" s="182">
        <f>(BP372*$E372*$F372*$G372*$M372)</f>
        <v>0</v>
      </c>
      <c r="BR372" s="182"/>
      <c r="BS372" s="182">
        <f>(BR372*$E372*$F372*$G372*$M372)</f>
        <v>0</v>
      </c>
      <c r="BT372" s="182"/>
      <c r="BU372" s="182">
        <f>(BT372*$E372*$F372*$G372*$M372)</f>
        <v>0</v>
      </c>
      <c r="BV372" s="182"/>
      <c r="BW372" s="182">
        <f>(BV372*$E372*$F372*$G372*$M372)</f>
        <v>0</v>
      </c>
      <c r="BX372" s="182"/>
      <c r="BY372" s="182">
        <f>(BX372*$E372*$F372*$G372*$M372)</f>
        <v>0</v>
      </c>
      <c r="BZ372" s="182"/>
      <c r="CA372" s="187">
        <f>(BZ372*$E372*$F372*$G372*$M372)</f>
        <v>0</v>
      </c>
      <c r="CB372" s="182"/>
      <c r="CC372" s="182">
        <f>(CB372*$E372*$F372*$G372*$L372)</f>
        <v>0</v>
      </c>
      <c r="CD372" s="182"/>
      <c r="CE372" s="183">
        <f>(CD372*$E372*$F372*$G372*$L372)</f>
        <v>0</v>
      </c>
      <c r="CF372" s="182"/>
      <c r="CG372" s="182">
        <f>(CF372*$E372*$F372*$G372*$L372)</f>
        <v>0</v>
      </c>
      <c r="CH372" s="182"/>
      <c r="CI372" s="182">
        <f>(CH372*$E372*$F372*$G372*$M372)</f>
        <v>0</v>
      </c>
      <c r="CJ372" s="182"/>
      <c r="CK372" s="182"/>
      <c r="CL372" s="182"/>
      <c r="CM372" s="182">
        <f>(CL372*$E372*$F372*$G372*$L372)</f>
        <v>0</v>
      </c>
      <c r="CN372" s="182"/>
      <c r="CO372" s="182">
        <f>(CN372*$E372*$F372*$G372*$L372)</f>
        <v>0</v>
      </c>
      <c r="CP372" s="182"/>
      <c r="CQ372" s="182">
        <f>(CP372*$E372*$F372*$G372*$L372)</f>
        <v>0</v>
      </c>
      <c r="CR372" s="182"/>
      <c r="CS372" s="182">
        <f>(CR372*$E372*$F372*$G372*$L372)</f>
        <v>0</v>
      </c>
      <c r="CT372" s="182"/>
      <c r="CU372" s="182">
        <f>(CT372*$E372*$F372*$G372*$L372)</f>
        <v>0</v>
      </c>
      <c r="CV372" s="182"/>
      <c r="CW372" s="182">
        <v>0</v>
      </c>
      <c r="CX372" s="182"/>
      <c r="CY372" s="182">
        <f>(CX372*$E372*$F372*$G372*$M372)</f>
        <v>0</v>
      </c>
      <c r="CZ372" s="182"/>
      <c r="DA372" s="182">
        <v>0</v>
      </c>
      <c r="DB372" s="188"/>
      <c r="DC372" s="182">
        <f>(DB372*$E372*$F372*$G372*$M372)</f>
        <v>0</v>
      </c>
      <c r="DD372" s="182"/>
      <c r="DE372" s="187">
        <f>(DD372*$E372*$F372*$G372*$M372)</f>
        <v>0</v>
      </c>
      <c r="DF372" s="182"/>
      <c r="DG372" s="182"/>
      <c r="DH372" s="189"/>
      <c r="DI372" s="182">
        <f>(DH372*$E372*$F372*$G372*$M372)</f>
        <v>0</v>
      </c>
      <c r="DJ372" s="182"/>
      <c r="DK372" s="182">
        <f>(DJ372*$E372*$F372*$G372*$M372)</f>
        <v>0</v>
      </c>
      <c r="DL372" s="182"/>
      <c r="DM372" s="182">
        <f>(DL372*$E372*$F372*$G372*$N372)</f>
        <v>0</v>
      </c>
      <c r="DN372" s="182"/>
      <c r="DO372" s="187">
        <f>(DN372*$E372*$F372*$G372*$O372)</f>
        <v>0</v>
      </c>
      <c r="DP372" s="187"/>
      <c r="DQ372" s="187"/>
      <c r="DR372" s="183">
        <f t="shared" si="1656"/>
        <v>25</v>
      </c>
      <c r="DS372" s="183">
        <f t="shared" si="1656"/>
        <v>3939601.175999999</v>
      </c>
      <c r="DT372" s="182">
        <v>25</v>
      </c>
      <c r="DU372" s="182">
        <v>3939601.175999999</v>
      </c>
      <c r="DV372" s="167">
        <f t="shared" si="1450"/>
        <v>0</v>
      </c>
      <c r="DW372" s="167">
        <f t="shared" si="1450"/>
        <v>0</v>
      </c>
    </row>
    <row r="373" spans="1:127" ht="30" customHeight="1" x14ac:dyDescent="0.25">
      <c r="A373" s="154"/>
      <c r="B373" s="176">
        <v>326</v>
      </c>
      <c r="C373" s="177" t="s">
        <v>818</v>
      </c>
      <c r="D373" s="210" t="s">
        <v>819</v>
      </c>
      <c r="E373" s="158">
        <v>25969</v>
      </c>
      <c r="F373" s="179">
        <v>2.42</v>
      </c>
      <c r="G373" s="168">
        <v>1</v>
      </c>
      <c r="H373" s="169"/>
      <c r="I373" s="169"/>
      <c r="J373" s="169"/>
      <c r="K373" s="106"/>
      <c r="L373" s="180">
        <v>1.4</v>
      </c>
      <c r="M373" s="180">
        <v>1.68</v>
      </c>
      <c r="N373" s="180">
        <v>2.23</v>
      </c>
      <c r="O373" s="181">
        <v>2.57</v>
      </c>
      <c r="P373" s="244">
        <v>10</v>
      </c>
      <c r="Q373" s="182">
        <f>(P373*$E373*$F373*$G373*$L373*$Q$12)</f>
        <v>967812.69199999992</v>
      </c>
      <c r="R373" s="182">
        <v>4</v>
      </c>
      <c r="S373" s="182">
        <f>(R373*$E373*$F373*$G373*$L373*$S$12)</f>
        <v>387125.07679999998</v>
      </c>
      <c r="T373" s="182">
        <v>1</v>
      </c>
      <c r="U373" s="182">
        <f t="shared" ref="U373:U377" si="1659">(T373/12*11*$E373*$F373*$G373*$L373*$U$12)+(T373/12*1*$E373*$F373*$G373*$L373*$U$14)</f>
        <v>111078.50214999997</v>
      </c>
      <c r="V373" s="182"/>
      <c r="W373" s="183">
        <f t="shared" ref="W373:W377" si="1660">(V373*$E373*$F373*$G373*$L373*$W$12)/12*10+(V373*$E373*$F373*$G373*$L373*$W$13)/12*1++(V373*$E373*$F373*$G373*$L373*$W$14)/12*1</f>
        <v>0</v>
      </c>
      <c r="X373" s="183"/>
      <c r="Y373" s="183">
        <v>0</v>
      </c>
      <c r="Z373" s="183">
        <v>0</v>
      </c>
      <c r="AA373" s="183">
        <v>0</v>
      </c>
      <c r="AB373" s="182">
        <f t="shared" ref="AB373:AC387" si="1661">X373+Z373</f>
        <v>0</v>
      </c>
      <c r="AC373" s="182">
        <f t="shared" si="1661"/>
        <v>0</v>
      </c>
      <c r="AD373" s="182"/>
      <c r="AE373" s="182">
        <f>(AD373*$E373*$F373*$G373*$L373*$AE$12)</f>
        <v>0</v>
      </c>
      <c r="AF373" s="182"/>
      <c r="AG373" s="182"/>
      <c r="AH373" s="182">
        <v>5</v>
      </c>
      <c r="AI373" s="182">
        <f>(AH373*$E373*$F373*$G373*$L373*$AI$12)</f>
        <v>483906.34599999996</v>
      </c>
      <c r="AJ373" s="182"/>
      <c r="AK373" s="182"/>
      <c r="AL373" s="182"/>
      <c r="AM373" s="182"/>
      <c r="AN373" s="184"/>
      <c r="AO373" s="182">
        <f>(AN373*$E373*$F373*$G373*$L373*$AO$12)</f>
        <v>0</v>
      </c>
      <c r="AP373" s="182">
        <v>10</v>
      </c>
      <c r="AQ373" s="183">
        <f>(AP373*$E373*$F373*$G373*$L373*$AQ$12)</f>
        <v>967812.69199999992</v>
      </c>
      <c r="AR373" s="182">
        <v>2</v>
      </c>
      <c r="AS373" s="182">
        <f t="shared" ref="AS373:AS377" si="1662">(AR373*$E373*$F373*$G373*$L373*$AS$12)/12*10+(AR373*$E373*$F373*$G373*$L373*$AS$13)/12*1+(AR373*$E373*$F373*$L373*$G373*$AS$14*$AS$15)/12*1</f>
        <v>208956.62573426665</v>
      </c>
      <c r="AT373" s="182">
        <v>15</v>
      </c>
      <c r="AU373" s="182">
        <f t="shared" ref="AU373:AU377" si="1663">(AT373*$E373*$F373*$G373*$M373*$AU$12)/12*10+(AT373*$E373*$F373*$G373*$M373*$AU$13)/12+(AT373*$E373*$F373*$G373*$M373*$AU$14*$AU$15)/12</f>
        <v>1825047.5929436518</v>
      </c>
      <c r="AV373" s="188">
        <v>5</v>
      </c>
      <c r="AW373" s="182">
        <v>739056.95000000007</v>
      </c>
      <c r="AX373" s="182"/>
      <c r="AY373" s="187">
        <f>(AX373*$E373*$F373*$G373*$M373*$AY$12)</f>
        <v>0</v>
      </c>
      <c r="AZ373" s="182"/>
      <c r="BA373" s="182">
        <f>(AZ373*$E373*$F373*$G373*$L373*$BA$12)</f>
        <v>0</v>
      </c>
      <c r="BB373" s="182"/>
      <c r="BC373" s="182">
        <f>(BB373*$E373*$F373*$G373*$L373*$BC$12)</f>
        <v>0</v>
      </c>
      <c r="BD373" s="182"/>
      <c r="BE373" s="182">
        <f>(BD373*$E373*$F373*$G373*$L373*$BE$12)</f>
        <v>0</v>
      </c>
      <c r="BF373" s="182"/>
      <c r="BG373" s="182">
        <f>(BF373*$E373*$F373*$G373*$L373*$BG$12)</f>
        <v>0</v>
      </c>
      <c r="BH373" s="182"/>
      <c r="BI373" s="183">
        <f>(BH373*$E373*$F373*$G373*$L373*$BI$12)</f>
        <v>0</v>
      </c>
      <c r="BJ373" s="182"/>
      <c r="BK373" s="183">
        <f>(BJ373*$E373*$F373*$G373*$L373*$BK$12)</f>
        <v>0</v>
      </c>
      <c r="BL373" s="182"/>
      <c r="BM373" s="182">
        <f>(BL373*$E373*$F373*$G373*$L373*$BM$12)</f>
        <v>0</v>
      </c>
      <c r="BN373" s="182">
        <v>4</v>
      </c>
      <c r="BO373" s="182">
        <f>(BN373*$E373*$F373*$G373*$M373*$BO$12)</f>
        <v>464550.09216</v>
      </c>
      <c r="BP373" s="182"/>
      <c r="BQ373" s="182">
        <f>(BP373*$E373*$F373*$G373*$M373*$BQ$12)</f>
        <v>0</v>
      </c>
      <c r="BR373" s="182"/>
      <c r="BS373" s="183">
        <f>(BR373*$E373*$F373*$G373*$M373*$BS$12)</f>
        <v>0</v>
      </c>
      <c r="BT373" s="182"/>
      <c r="BU373" s="182">
        <f>(BT373*$E373*$F373*$G373*$M373*$BU$12)</f>
        <v>0</v>
      </c>
      <c r="BV373" s="182"/>
      <c r="BW373" s="182">
        <f>(BV373*$E373*$F373*$G373*$M373*$BW$12)</f>
        <v>0</v>
      </c>
      <c r="BX373" s="182"/>
      <c r="BY373" s="183">
        <f>(BX373*$E373*$F373*$G373*$M373*$BY$12)</f>
        <v>0</v>
      </c>
      <c r="BZ373" s="182">
        <v>1</v>
      </c>
      <c r="CA373" s="187">
        <f t="shared" ref="CA373:CA377" si="1664">(BZ373*$E373*$F373*$G373*$M373*$CA$12)/12*11+(BZ373*$E373*$F373*$G373*$M373*$CA$12*$CA$15)/12</f>
        <v>137984.57481731998</v>
      </c>
      <c r="CB373" s="182"/>
      <c r="CC373" s="182">
        <f>(CB373*$E373*$F373*$G373*$L373*$CC$12)</f>
        <v>0</v>
      </c>
      <c r="CD373" s="182"/>
      <c r="CE373" s="182">
        <f>(CD373*$E373*$F373*$G373*$L373*$CE$12)</f>
        <v>0</v>
      </c>
      <c r="CF373" s="182"/>
      <c r="CG373" s="182">
        <f>(CF373*$E373*$F373*$G373*$L373*$CG$12)</f>
        <v>0</v>
      </c>
      <c r="CH373" s="182">
        <v>1</v>
      </c>
      <c r="CI373" s="182">
        <f t="shared" ref="CI373:CI377" si="1665">(CH373*$E373*$F373*$G373*$M373*$CI$12)/12*11+(CH373*$E373*$F373*$G373*$M373*$CI$12*$CI$15)/12</f>
        <v>117661.564080984</v>
      </c>
      <c r="CJ373" s="182"/>
      <c r="CK373" s="182"/>
      <c r="CL373" s="182"/>
      <c r="CM373" s="183">
        <f>(CL373*$E373*$F373*$G373*$L373*$CM$12)</f>
        <v>0</v>
      </c>
      <c r="CN373" s="182"/>
      <c r="CO373" s="183">
        <f>(CN373*$E373*$F373*$G373*$L373*$CO$12)</f>
        <v>0</v>
      </c>
      <c r="CP373" s="182"/>
      <c r="CQ373" s="182">
        <f>(CP373*$E373*$F373*$G373*$L373*$CQ$12)</f>
        <v>0</v>
      </c>
      <c r="CR373" s="182">
        <v>2</v>
      </c>
      <c r="CS373" s="182">
        <f t="shared" ref="CS373" si="1666">(CR373*$E373*$F373*$G373*$L373*$CS$12)/12*10+(CR373*$E373*$F373*$G373*$L373*$CS$13)/12+(CR373*$E373*$F373*$G373*$L373*$CS$13*$CS$15)/12</f>
        <v>210959.99800670665</v>
      </c>
      <c r="CT373" s="182"/>
      <c r="CU373" s="182">
        <f>(CT373*$E373*$F373*$G373*$L373*$CU$12)</f>
        <v>0</v>
      </c>
      <c r="CV373" s="182">
        <v>2</v>
      </c>
      <c r="CW373" s="182">
        <v>211159.14</v>
      </c>
      <c r="CX373" s="182"/>
      <c r="CY373" s="182">
        <f>(CX373*$E373*$F373*$G373*$M373*$CY$12)</f>
        <v>0</v>
      </c>
      <c r="CZ373" s="182"/>
      <c r="DA373" s="182">
        <v>0</v>
      </c>
      <c r="DB373" s="188"/>
      <c r="DC373" s="182">
        <f>(DB373*$E373*$F373*$G373*$M373*$DC$12)</f>
        <v>0</v>
      </c>
      <c r="DD373" s="182"/>
      <c r="DE373" s="187"/>
      <c r="DF373" s="182"/>
      <c r="DG373" s="182">
        <f>(DF373*$E373*$F373*$G373*$M373*$DG$12)</f>
        <v>0</v>
      </c>
      <c r="DH373" s="189"/>
      <c r="DI373" s="182">
        <f>(DH373*$E373*$F373*$G373*$M373*$DI$12)</f>
        <v>0</v>
      </c>
      <c r="DJ373" s="182"/>
      <c r="DK373" s="182">
        <f>(DJ373*$E373*$F373*$G373*$M373*$DK$12)</f>
        <v>0</v>
      </c>
      <c r="DL373" s="182"/>
      <c r="DM373" s="182">
        <f>(DL373*$E373*$F373*$G373*$N373*$DM$12)</f>
        <v>0</v>
      </c>
      <c r="DN373" s="182"/>
      <c r="DO373" s="190">
        <f>(DN373*$E373*$F373*$G373*$O373*$DO$12)</f>
        <v>0</v>
      </c>
      <c r="DP373" s="187"/>
      <c r="DQ373" s="187"/>
      <c r="DR373" s="183">
        <f t="shared" si="1656"/>
        <v>62</v>
      </c>
      <c r="DS373" s="183">
        <f t="shared" si="1656"/>
        <v>6833111.84669293</v>
      </c>
      <c r="DT373" s="182">
        <v>59</v>
      </c>
      <c r="DU373" s="182">
        <v>6386683.9446799988</v>
      </c>
      <c r="DV373" s="167">
        <f t="shared" si="1450"/>
        <v>3</v>
      </c>
      <c r="DW373" s="167">
        <f t="shared" si="1450"/>
        <v>446427.90201293118</v>
      </c>
    </row>
    <row r="374" spans="1:127" ht="30" customHeight="1" x14ac:dyDescent="0.25">
      <c r="A374" s="154"/>
      <c r="B374" s="176">
        <v>327</v>
      </c>
      <c r="C374" s="177" t="s">
        <v>820</v>
      </c>
      <c r="D374" s="210" t="s">
        <v>821</v>
      </c>
      <c r="E374" s="158">
        <v>25969</v>
      </c>
      <c r="F374" s="179">
        <v>2.69</v>
      </c>
      <c r="G374" s="168">
        <v>1</v>
      </c>
      <c r="H374" s="169"/>
      <c r="I374" s="169"/>
      <c r="J374" s="169"/>
      <c r="K374" s="106"/>
      <c r="L374" s="180">
        <v>1.4</v>
      </c>
      <c r="M374" s="180">
        <v>1.68</v>
      </c>
      <c r="N374" s="180">
        <v>2.23</v>
      </c>
      <c r="O374" s="181">
        <v>2.57</v>
      </c>
      <c r="P374" s="244">
        <v>15</v>
      </c>
      <c r="Q374" s="182">
        <f>(P374*$E374*$F374*$G374*$L374*$Q$12)</f>
        <v>1613687.6910000001</v>
      </c>
      <c r="R374" s="182">
        <v>1</v>
      </c>
      <c r="S374" s="182">
        <f>(R374*$E374*$F374*$G374*$L374*$S$12)</f>
        <v>107579.17940000001</v>
      </c>
      <c r="T374" s="182">
        <v>2</v>
      </c>
      <c r="U374" s="182">
        <f t="shared" si="1659"/>
        <v>246943.11634999991</v>
      </c>
      <c r="V374" s="182">
        <v>1</v>
      </c>
      <c r="W374" s="183">
        <f>(V374*$E374*$F374*$G374*$L374*$W$12)/12*10+(V374*$E374*$F374*$G374*$L374*$W$13)/12*1+(V374*$E374*$F374*$G374*$L374*$W$14*$W$15)/12*1</f>
        <v>124376.91846902935</v>
      </c>
      <c r="X374" s="183">
        <v>9</v>
      </c>
      <c r="Y374" s="183">
        <v>1232270.6003999999</v>
      </c>
      <c r="Z374" s="183">
        <v>0</v>
      </c>
      <c r="AA374" s="183">
        <v>0</v>
      </c>
      <c r="AB374" s="182">
        <f t="shared" si="1661"/>
        <v>9</v>
      </c>
      <c r="AC374" s="182">
        <f t="shared" si="1661"/>
        <v>1232270.6003999999</v>
      </c>
      <c r="AD374" s="182"/>
      <c r="AE374" s="182">
        <f>(AD374*$E374*$F374*$G374*$L374*$AE$12)</f>
        <v>0</v>
      </c>
      <c r="AF374" s="182"/>
      <c r="AG374" s="182"/>
      <c r="AH374" s="182">
        <v>5</v>
      </c>
      <c r="AI374" s="182">
        <f>(AH374*$E374*$F374*$G374*$L374*$AI$12)</f>
        <v>537895.897</v>
      </c>
      <c r="AJ374" s="182"/>
      <c r="AK374" s="182"/>
      <c r="AL374" s="182"/>
      <c r="AM374" s="182"/>
      <c r="AN374" s="184"/>
      <c r="AO374" s="182">
        <f>(AN374*$E374*$F374*$G374*$L374*$AO$12)</f>
        <v>0</v>
      </c>
      <c r="AP374" s="182">
        <v>3</v>
      </c>
      <c r="AQ374" s="183">
        <f>(AP374*$E374*$F374*$G374*$L374*$AQ$12)</f>
        <v>322737.53820000001</v>
      </c>
      <c r="AR374" s="182">
        <v>2</v>
      </c>
      <c r="AS374" s="182">
        <f t="shared" si="1662"/>
        <v>232269.96827486667</v>
      </c>
      <c r="AT374" s="182">
        <v>1</v>
      </c>
      <c r="AU374" s="182">
        <f t="shared" si="1663"/>
        <v>135244.57369196761</v>
      </c>
      <c r="AV374" s="188">
        <v>5</v>
      </c>
      <c r="AW374" s="182">
        <v>821513.75</v>
      </c>
      <c r="AX374" s="182"/>
      <c r="AY374" s="187">
        <f>(AX374*$E374*$F374*$G374*$M374*$AY$12)</f>
        <v>0</v>
      </c>
      <c r="AZ374" s="182"/>
      <c r="BA374" s="182">
        <f>(AZ374*$E374*$F374*$G374*$L374*$BA$12)</f>
        <v>0</v>
      </c>
      <c r="BB374" s="182">
        <v>0</v>
      </c>
      <c r="BC374" s="182">
        <f>(BB374*$E374*$F374*$G374*$L374*$BC$12)</f>
        <v>0</v>
      </c>
      <c r="BD374" s="182"/>
      <c r="BE374" s="182">
        <f>(BD374*$E374*$F374*$G374*$L374*$BE$12)</f>
        <v>0</v>
      </c>
      <c r="BF374" s="182"/>
      <c r="BG374" s="182">
        <f>(BF374*$E374*$F374*$G374*$L374*$BG$12)</f>
        <v>0</v>
      </c>
      <c r="BH374" s="182"/>
      <c r="BI374" s="183">
        <f>(BH374*$E374*$F374*$G374*$L374*$BI$12)</f>
        <v>0</v>
      </c>
      <c r="BJ374" s="182"/>
      <c r="BK374" s="183">
        <f>(BJ374*$E374*$F374*$G374*$L374*$BK$12)</f>
        <v>0</v>
      </c>
      <c r="BL374" s="182"/>
      <c r="BM374" s="182">
        <f>(BL374*$E374*$F374*$G374*$L374*$BM$12)</f>
        <v>0</v>
      </c>
      <c r="BN374" s="182"/>
      <c r="BO374" s="182">
        <f>(BN374*$E374*$F374*$G374*$M374*$BO$12)</f>
        <v>0</v>
      </c>
      <c r="BP374" s="182"/>
      <c r="BQ374" s="182">
        <f>(BP374*$E374*$F374*$G374*$M374*$BQ$12)</f>
        <v>0</v>
      </c>
      <c r="BR374" s="182"/>
      <c r="BS374" s="183">
        <f>(BR374*$E374*$F374*$G374*$M374*$BS$12)</f>
        <v>0</v>
      </c>
      <c r="BT374" s="182"/>
      <c r="BU374" s="182">
        <f>(BT374*$E374*$F374*$G374*$M374*$BU$12)</f>
        <v>0</v>
      </c>
      <c r="BV374" s="182"/>
      <c r="BW374" s="182">
        <f>(BV374*$E374*$F374*$G374*$M374*$BW$12)</f>
        <v>0</v>
      </c>
      <c r="BX374" s="182"/>
      <c r="BY374" s="183">
        <f>(BX374*$E374*$F374*$G374*$M374*$BY$12)</f>
        <v>0</v>
      </c>
      <c r="BZ374" s="182"/>
      <c r="CA374" s="187">
        <f t="shared" si="1664"/>
        <v>0</v>
      </c>
      <c r="CB374" s="182"/>
      <c r="CC374" s="182">
        <f>(CB374*$E374*$F374*$G374*$L374*$CC$12)</f>
        <v>0</v>
      </c>
      <c r="CD374" s="182"/>
      <c r="CE374" s="182">
        <f>(CD374*$E374*$F374*$G374*$L374*$CE$12)</f>
        <v>0</v>
      </c>
      <c r="CF374" s="182"/>
      <c r="CG374" s="182">
        <f>(CF374*$E374*$F374*$G374*$L374*$CG$12)</f>
        <v>0</v>
      </c>
      <c r="CH374" s="182"/>
      <c r="CI374" s="182">
        <f t="shared" si="1665"/>
        <v>0</v>
      </c>
      <c r="CJ374" s="182"/>
      <c r="CK374" s="182"/>
      <c r="CL374" s="182"/>
      <c r="CM374" s="183">
        <f>(CL374*$E374*$F374*$G374*$L374*$CM$12)</f>
        <v>0</v>
      </c>
      <c r="CN374" s="182"/>
      <c r="CO374" s="183">
        <f>(CN374*$E374*$F374*$G374*$L374*$CO$12)</f>
        <v>0</v>
      </c>
      <c r="CP374" s="182"/>
      <c r="CQ374" s="182">
        <f>(CP374*$E374*$F374*$G374*$L374*$CQ$12)</f>
        <v>0</v>
      </c>
      <c r="CR374" s="182"/>
      <c r="CS374" s="182">
        <f t="shared" ref="CS374:CS376" si="1667">(CR374*$E374*$F374*$G374*$L374*$CS$12)/12*10+(CR374*$E374*$F374*$G374*$L374*$CS$13)/12*2</f>
        <v>0</v>
      </c>
      <c r="CT374" s="182"/>
      <c r="CU374" s="182">
        <f>(CT374*$E374*$F374*$G374*$L374*$CU$12)</f>
        <v>0</v>
      </c>
      <c r="CV374" s="182">
        <v>3</v>
      </c>
      <c r="CW374" s="182">
        <v>352077.30000000005</v>
      </c>
      <c r="CX374" s="182"/>
      <c r="CY374" s="182">
        <f t="shared" ref="CY374:CY377" si="1668">(CX374/12*11*$E374*$F374*$G374*$M374*$CY$12)+(CX374/12*$E374*$F374*$G374*$M374*$CY$15*$CY$12)</f>
        <v>0</v>
      </c>
      <c r="CZ374" s="182"/>
      <c r="DA374" s="182">
        <v>0</v>
      </c>
      <c r="DB374" s="188"/>
      <c r="DC374" s="182">
        <f>(DB374*$E374*$F374*$G374*$M374*$DC$12)</f>
        <v>0</v>
      </c>
      <c r="DD374" s="182"/>
      <c r="DE374" s="187"/>
      <c r="DF374" s="182"/>
      <c r="DG374" s="182">
        <f>(DF374*$E374*$F374*$G374*$M374*$DG$12)</f>
        <v>0</v>
      </c>
      <c r="DH374" s="189"/>
      <c r="DI374" s="182">
        <f>(DH374*$E374*$F374*$G374*$M374*$DI$12)</f>
        <v>0</v>
      </c>
      <c r="DJ374" s="182"/>
      <c r="DK374" s="182">
        <f>(DJ374*$E374*$F374*$G374*$M374*$DK$12)</f>
        <v>0</v>
      </c>
      <c r="DL374" s="182"/>
      <c r="DM374" s="182">
        <f>(DL374*$E374*$F374*$G374*$N374*$DM$12)</f>
        <v>0</v>
      </c>
      <c r="DN374" s="182"/>
      <c r="DO374" s="190">
        <f>(DN374*$E374*$F374*$G374*$O374*$DO$12)</f>
        <v>0</v>
      </c>
      <c r="DP374" s="187"/>
      <c r="DQ374" s="187"/>
      <c r="DR374" s="183">
        <f t="shared" si="1656"/>
        <v>47</v>
      </c>
      <c r="DS374" s="183">
        <f t="shared" si="1656"/>
        <v>5726596.5327858627</v>
      </c>
      <c r="DT374" s="182">
        <v>45</v>
      </c>
      <c r="DU374" s="182">
        <v>5439594.4930799995</v>
      </c>
      <c r="DV374" s="167">
        <f t="shared" si="1450"/>
        <v>2</v>
      </c>
      <c r="DW374" s="167">
        <f t="shared" si="1450"/>
        <v>287002.03970586322</v>
      </c>
    </row>
    <row r="375" spans="1:127" ht="21.75" customHeight="1" x14ac:dyDescent="0.25">
      <c r="A375" s="154"/>
      <c r="B375" s="176">
        <v>328</v>
      </c>
      <c r="C375" s="177" t="s">
        <v>822</v>
      </c>
      <c r="D375" s="210" t="s">
        <v>823</v>
      </c>
      <c r="E375" s="158">
        <v>25969</v>
      </c>
      <c r="F375" s="179">
        <v>4.12</v>
      </c>
      <c r="G375" s="243">
        <v>0.8</v>
      </c>
      <c r="H375" s="242"/>
      <c r="I375" s="242"/>
      <c r="J375" s="242"/>
      <c r="K375" s="106"/>
      <c r="L375" s="180">
        <v>1.4</v>
      </c>
      <c r="M375" s="180">
        <v>1.68</v>
      </c>
      <c r="N375" s="180">
        <v>2.23</v>
      </c>
      <c r="O375" s="181">
        <v>2.57</v>
      </c>
      <c r="P375" s="244">
        <v>10</v>
      </c>
      <c r="Q375" s="182">
        <f>(P375*$E375*$F375*$G375*$L375*$Q$12)</f>
        <v>1318144.8896000001</v>
      </c>
      <c r="R375" s="182">
        <v>6</v>
      </c>
      <c r="S375" s="182">
        <f>(R375*$E375*$F375*$G375*$L375*$S$12)</f>
        <v>790886.93376000016</v>
      </c>
      <c r="T375" s="182">
        <v>1</v>
      </c>
      <c r="U375" s="182">
        <f t="shared" si="1659"/>
        <v>151287.08391999995</v>
      </c>
      <c r="V375" s="182"/>
      <c r="W375" s="183">
        <f t="shared" si="1660"/>
        <v>0</v>
      </c>
      <c r="X375" s="183"/>
      <c r="Y375" s="183">
        <v>0</v>
      </c>
      <c r="Z375" s="183">
        <v>0</v>
      </c>
      <c r="AA375" s="183">
        <v>0</v>
      </c>
      <c r="AB375" s="182">
        <f t="shared" si="1661"/>
        <v>0</v>
      </c>
      <c r="AC375" s="182">
        <f t="shared" si="1661"/>
        <v>0</v>
      </c>
      <c r="AD375" s="182"/>
      <c r="AE375" s="182">
        <f>(AD375*$E375*$F375*$G375*$L375*$AE$12)</f>
        <v>0</v>
      </c>
      <c r="AF375" s="182"/>
      <c r="AG375" s="182"/>
      <c r="AH375" s="182"/>
      <c r="AI375" s="182">
        <f>(AH375*$E375*$F375*$G375*$L375*$AI$12)</f>
        <v>0</v>
      </c>
      <c r="AJ375" s="182"/>
      <c r="AK375" s="182"/>
      <c r="AL375" s="182"/>
      <c r="AM375" s="182"/>
      <c r="AN375" s="184"/>
      <c r="AO375" s="182">
        <f>(AN375*$E375*$F375*$G375*$L375*$AO$12)</f>
        <v>0</v>
      </c>
      <c r="AP375" s="182">
        <v>3</v>
      </c>
      <c r="AQ375" s="183">
        <f>(AP375*$E375*$F375*$G375*$L375*$AQ$12)</f>
        <v>395443.46688000008</v>
      </c>
      <c r="AR375" s="182">
        <v>3</v>
      </c>
      <c r="AS375" s="182">
        <f t="shared" si="1662"/>
        <v>426893.20563232002</v>
      </c>
      <c r="AT375" s="182">
        <v>6</v>
      </c>
      <c r="AU375" s="182">
        <f t="shared" si="1663"/>
        <v>994273.8622053354</v>
      </c>
      <c r="AV375" s="186">
        <v>0</v>
      </c>
      <c r="AW375" s="182">
        <v>0</v>
      </c>
      <c r="AX375" s="182"/>
      <c r="AY375" s="187">
        <f>(AX375*$E375*$F375*$G375*$M375*$AY$12)</f>
        <v>0</v>
      </c>
      <c r="AZ375" s="182"/>
      <c r="BA375" s="182">
        <f>(AZ375*$E375*$F375*$G375*$L375*$BA$12)</f>
        <v>0</v>
      </c>
      <c r="BB375" s="182">
        <v>0</v>
      </c>
      <c r="BC375" s="182">
        <f>(BB375*$E375*$F375*$G375*$L375*$BC$12)</f>
        <v>0</v>
      </c>
      <c r="BD375" s="182"/>
      <c r="BE375" s="182">
        <f>(BD375*$E375*$F375*$G375*$L375*$BE$12)</f>
        <v>0</v>
      </c>
      <c r="BF375" s="182"/>
      <c r="BG375" s="182">
        <f>(BF375*$E375*$F375*$G375*$L375*$BG$12)</f>
        <v>0</v>
      </c>
      <c r="BH375" s="182"/>
      <c r="BI375" s="183">
        <f>(BH375*$E375*$F375*$G375*$L375*$BI$12)</f>
        <v>0</v>
      </c>
      <c r="BJ375" s="182"/>
      <c r="BK375" s="183">
        <f>(BJ375*$E375*$F375*$G375*$L375*$BK$12)</f>
        <v>0</v>
      </c>
      <c r="BL375" s="182"/>
      <c r="BM375" s="182">
        <f>(BL375*$E375*$F375*$G375*$L375*$BM$12)</f>
        <v>0</v>
      </c>
      <c r="BN375" s="182">
        <v>3</v>
      </c>
      <c r="BO375" s="182">
        <f>(BN375*$E375*$F375*$G375*$M375*$BO$12)</f>
        <v>474532.16025600012</v>
      </c>
      <c r="BP375" s="182"/>
      <c r="BQ375" s="182">
        <f>(BP375*$E375*$F375*$G375*$M375*$BQ$12)</f>
        <v>0</v>
      </c>
      <c r="BR375" s="182"/>
      <c r="BS375" s="183">
        <f>(BR375*$E375*$F375*$G375*$M375*$BS$12)</f>
        <v>0</v>
      </c>
      <c r="BT375" s="182"/>
      <c r="BU375" s="182">
        <f>(BT375*$E375*$F375*$G375*$M375*$BU$12)</f>
        <v>0</v>
      </c>
      <c r="BV375" s="182"/>
      <c r="BW375" s="182">
        <f>(BV375*$E375*$F375*$G375*$M375*$BW$12)</f>
        <v>0</v>
      </c>
      <c r="BX375" s="182"/>
      <c r="BY375" s="183">
        <f>(BX375*$E375*$F375*$G375*$M375*$BY$12)</f>
        <v>0</v>
      </c>
      <c r="BZ375" s="182"/>
      <c r="CA375" s="187">
        <f t="shared" si="1664"/>
        <v>0</v>
      </c>
      <c r="CB375" s="182"/>
      <c r="CC375" s="182">
        <f>(CB375*$E375*$F375*$G375*$L375*$CC$12)</f>
        <v>0</v>
      </c>
      <c r="CD375" s="182"/>
      <c r="CE375" s="182">
        <f>(CD375*$E375*$F375*$G375*$L375*$CE$12)</f>
        <v>0</v>
      </c>
      <c r="CF375" s="182"/>
      <c r="CG375" s="182">
        <f>(CF375*$E375*$F375*$G375*$L375*$CG$12)</f>
        <v>0</v>
      </c>
      <c r="CH375" s="182">
        <v>1</v>
      </c>
      <c r="CI375" s="182">
        <f t="shared" si="1665"/>
        <v>160253.10545905918</v>
      </c>
      <c r="CJ375" s="182"/>
      <c r="CK375" s="182"/>
      <c r="CL375" s="182"/>
      <c r="CM375" s="183">
        <f>(CL375*$E375*$F375*$G375*$L375*$CM$12)</f>
        <v>0</v>
      </c>
      <c r="CN375" s="182"/>
      <c r="CO375" s="183">
        <f>(CN375*$E375*$F375*$G375*$L375*$CO$12)</f>
        <v>0</v>
      </c>
      <c r="CP375" s="182"/>
      <c r="CQ375" s="182">
        <f>(CP375*$E375*$F375*$G375*$L375*$CQ$12)</f>
        <v>0</v>
      </c>
      <c r="CR375" s="182"/>
      <c r="CS375" s="182">
        <f t="shared" si="1667"/>
        <v>0</v>
      </c>
      <c r="CT375" s="182"/>
      <c r="CU375" s="182">
        <f>(CT375*$E375*$F375*$G375*$L375*$CU$12)</f>
        <v>0</v>
      </c>
      <c r="CV375" s="182">
        <v>7</v>
      </c>
      <c r="CW375" s="182">
        <v>992203.58</v>
      </c>
      <c r="CX375" s="182">
        <v>2</v>
      </c>
      <c r="CY375" s="182">
        <f t="shared" si="1668"/>
        <v>310369.91637980152</v>
      </c>
      <c r="CZ375" s="182"/>
      <c r="DA375" s="182">
        <v>0</v>
      </c>
      <c r="DB375" s="188"/>
      <c r="DC375" s="182">
        <f>(DB375*$E375*$F375*$G375*$M375*$DC$12)</f>
        <v>0</v>
      </c>
      <c r="DD375" s="182"/>
      <c r="DE375" s="187"/>
      <c r="DF375" s="182"/>
      <c r="DG375" s="182">
        <f>(DF375*$E375*$F375*$G375*$M375*$DG$12)</f>
        <v>0</v>
      </c>
      <c r="DH375" s="189"/>
      <c r="DI375" s="182">
        <f>(DH375*$E375*$F375*$G375*$M375*$DI$12)</f>
        <v>0</v>
      </c>
      <c r="DJ375" s="182"/>
      <c r="DK375" s="182">
        <f>(DJ375*$E375*$F375*$G375*$M375*$DK$12)</f>
        <v>0</v>
      </c>
      <c r="DL375" s="182"/>
      <c r="DM375" s="182">
        <f>(DL375*$E375*$F375*$G375*$N375*$DM$12)</f>
        <v>0</v>
      </c>
      <c r="DN375" s="182">
        <f>ROUND(1*0.75,0)</f>
        <v>1</v>
      </c>
      <c r="DO375" s="190">
        <f>(DN375*$E375*$F375*$G375*$O375*$DO$12)</f>
        <v>219976.12768000001</v>
      </c>
      <c r="DP375" s="187"/>
      <c r="DQ375" s="187"/>
      <c r="DR375" s="183">
        <f t="shared" si="1656"/>
        <v>43</v>
      </c>
      <c r="DS375" s="183">
        <f t="shared" si="1656"/>
        <v>6234264.3317725183</v>
      </c>
      <c r="DT375" s="182">
        <v>43</v>
      </c>
      <c r="DU375" s="182">
        <v>6153425.5733760009</v>
      </c>
      <c r="DV375" s="167">
        <f t="shared" si="1450"/>
        <v>0</v>
      </c>
      <c r="DW375" s="167">
        <f t="shared" si="1450"/>
        <v>80838.758396517485</v>
      </c>
    </row>
    <row r="376" spans="1:127" ht="30" customHeight="1" x14ac:dyDescent="0.25">
      <c r="A376" s="154"/>
      <c r="B376" s="176">
        <v>329</v>
      </c>
      <c r="C376" s="177" t="s">
        <v>824</v>
      </c>
      <c r="D376" s="210" t="s">
        <v>825</v>
      </c>
      <c r="E376" s="158">
        <v>25969</v>
      </c>
      <c r="F376" s="179">
        <v>1.1599999999999999</v>
      </c>
      <c r="G376" s="168">
        <v>1</v>
      </c>
      <c r="H376" s="169"/>
      <c r="I376" s="169"/>
      <c r="J376" s="169"/>
      <c r="K376" s="106"/>
      <c r="L376" s="180">
        <v>1.4</v>
      </c>
      <c r="M376" s="180">
        <v>1.68</v>
      </c>
      <c r="N376" s="180">
        <v>2.23</v>
      </c>
      <c r="O376" s="181">
        <v>2.57</v>
      </c>
      <c r="P376" s="244">
        <v>4</v>
      </c>
      <c r="Q376" s="182">
        <f>(P376*$E376*$F376*$G376*$L376*$Q$12)</f>
        <v>185564.0864</v>
      </c>
      <c r="R376" s="182">
        <v>1</v>
      </c>
      <c r="S376" s="182">
        <f>(R376*$E376*$F376*$G376*$L376*$S$12)</f>
        <v>46391.0216</v>
      </c>
      <c r="T376" s="182">
        <v>81</v>
      </c>
      <c r="U376" s="182">
        <f t="shared" si="1659"/>
        <v>4312783.4967</v>
      </c>
      <c r="V376" s="182"/>
      <c r="W376" s="183">
        <f t="shared" si="1660"/>
        <v>0</v>
      </c>
      <c r="X376" s="183"/>
      <c r="Y376" s="183">
        <v>0</v>
      </c>
      <c r="Z376" s="183">
        <v>0</v>
      </c>
      <c r="AA376" s="183">
        <v>0</v>
      </c>
      <c r="AB376" s="182">
        <f t="shared" si="1661"/>
        <v>0</v>
      </c>
      <c r="AC376" s="182">
        <f t="shared" si="1661"/>
        <v>0</v>
      </c>
      <c r="AD376" s="182"/>
      <c r="AE376" s="182">
        <f>(AD376*$E376*$F376*$G376*$L376*$AE$12)</f>
        <v>0</v>
      </c>
      <c r="AF376" s="182"/>
      <c r="AG376" s="182"/>
      <c r="AH376" s="182"/>
      <c r="AI376" s="182">
        <f>(AH376*$E376*$F376*$G376*$L376*$AI$12)</f>
        <v>0</v>
      </c>
      <c r="AJ376" s="182"/>
      <c r="AK376" s="182"/>
      <c r="AL376" s="182"/>
      <c r="AM376" s="182"/>
      <c r="AN376" s="184"/>
      <c r="AO376" s="182">
        <f>(AN376*$E376*$F376*$G376*$L376*$AO$12)</f>
        <v>0</v>
      </c>
      <c r="AP376" s="182">
        <v>5</v>
      </c>
      <c r="AQ376" s="183">
        <f>(AP376*$E376*$F376*$G376*$L376*$AQ$12)</f>
        <v>231955.10799999998</v>
      </c>
      <c r="AR376" s="182">
        <v>1</v>
      </c>
      <c r="AS376" s="182">
        <f t="shared" si="1662"/>
        <v>50080.513605733329</v>
      </c>
      <c r="AT376" s="182">
        <f>4+13</f>
        <v>17</v>
      </c>
      <c r="AU376" s="182">
        <f t="shared" si="1663"/>
        <v>991458.36178646877</v>
      </c>
      <c r="AV376" s="188">
        <v>0</v>
      </c>
      <c r="AW376" s="182">
        <v>0</v>
      </c>
      <c r="AX376" s="182"/>
      <c r="AY376" s="187">
        <f>(AX376*$E376*$F376*$G376*$M376*$AY$12)</f>
        <v>0</v>
      </c>
      <c r="AZ376" s="182"/>
      <c r="BA376" s="182">
        <f>(AZ376*$E376*$F376*$G376*$L376*$BA$12)</f>
        <v>0</v>
      </c>
      <c r="BB376" s="182">
        <v>0</v>
      </c>
      <c r="BC376" s="182">
        <f>(BB376*$E376*$F376*$G376*$L376*$BC$12)</f>
        <v>0</v>
      </c>
      <c r="BD376" s="182"/>
      <c r="BE376" s="182">
        <f>(BD376*$E376*$F376*$G376*$L376*$BE$12)</f>
        <v>0</v>
      </c>
      <c r="BF376" s="182"/>
      <c r="BG376" s="182">
        <f>(BF376*$E376*$F376*$G376*$L376*$BG$12)</f>
        <v>0</v>
      </c>
      <c r="BH376" s="182"/>
      <c r="BI376" s="183">
        <f>(BH376*$E376*$F376*$G376*$L376*$BI$12)</f>
        <v>0</v>
      </c>
      <c r="BJ376" s="182"/>
      <c r="BK376" s="183">
        <f>(BJ376*$E376*$F376*$G376*$L376*$BK$12)</f>
        <v>0</v>
      </c>
      <c r="BL376" s="182">
        <v>5</v>
      </c>
      <c r="BM376" s="182">
        <f t="shared" ref="BM376:BM377" si="1669">(BL376/12*11*$E376*$F376*$G376*$L376*$BM$12)+(BL376/12*$E376*$F376*$G376*$L376*$BM$12*$BM$15)</f>
        <v>294346.39294984</v>
      </c>
      <c r="BN376" s="182"/>
      <c r="BO376" s="182">
        <f>(BN376*$E376*$F376*$G376*$M376*$BO$12)</f>
        <v>0</v>
      </c>
      <c r="BP376" s="182"/>
      <c r="BQ376" s="182">
        <f>(BP376*$E376*$F376*$G376*$M376*$BQ$12)</f>
        <v>0</v>
      </c>
      <c r="BR376" s="182"/>
      <c r="BS376" s="183">
        <f>(BR376*$E376*$F376*$G376*$M376*$BS$12)</f>
        <v>0</v>
      </c>
      <c r="BT376" s="182">
        <v>4</v>
      </c>
      <c r="BU376" s="182">
        <f t="shared" ref="BU376:BU377" si="1670">(BT376*$E376*$F376*$G376*$M376*$BU$12)/12*10+(BT376*$E376*$F376*$G376*$M376*$BU$13)/12+(BT376*$E376*$F376*$G376*$M376*$BU$13*$BU$15)/12</f>
        <v>225511.24327459835</v>
      </c>
      <c r="BV376" s="182"/>
      <c r="BW376" s="182">
        <f>(BV376*$E376*$F376*$G376*$M376*$BW$12)</f>
        <v>0</v>
      </c>
      <c r="BX376" s="182"/>
      <c r="BY376" s="183">
        <f>(BX376*$E376*$F376*$G376*$M376*$BY$12)</f>
        <v>0</v>
      </c>
      <c r="BZ376" s="182"/>
      <c r="CA376" s="187">
        <f t="shared" si="1664"/>
        <v>0</v>
      </c>
      <c r="CB376" s="182"/>
      <c r="CC376" s="182">
        <f>(CB376*$E376*$F376*$G376*$L376*$CC$12)</f>
        <v>0</v>
      </c>
      <c r="CD376" s="182"/>
      <c r="CE376" s="182">
        <f>(CD376*$E376*$F376*$G376*$L376*$CE$12)</f>
        <v>0</v>
      </c>
      <c r="CF376" s="182"/>
      <c r="CG376" s="182">
        <f>(CF376*$E376*$F376*$G376*$L376*$CG$12)</f>
        <v>0</v>
      </c>
      <c r="CH376" s="182"/>
      <c r="CI376" s="182">
        <f t="shared" si="1665"/>
        <v>0</v>
      </c>
      <c r="CJ376" s="182"/>
      <c r="CK376" s="182"/>
      <c r="CL376" s="182"/>
      <c r="CM376" s="183">
        <f>(CL376*$E376*$F376*$G376*$L376*$CM$12)</f>
        <v>0</v>
      </c>
      <c r="CN376" s="182"/>
      <c r="CO376" s="183">
        <f>(CN376*$E376*$F376*$G376*$L376*$CO$12)</f>
        <v>0</v>
      </c>
      <c r="CP376" s="182"/>
      <c r="CQ376" s="182">
        <f>(CP376*$E376*$F376*$G376*$L376*$CQ$12)</f>
        <v>0</v>
      </c>
      <c r="CR376" s="182"/>
      <c r="CS376" s="182">
        <f t="shared" si="1667"/>
        <v>0</v>
      </c>
      <c r="CT376" s="182"/>
      <c r="CU376" s="182">
        <f>(CT376*$E376*$F376*$G376*$L376*$CU$12)</f>
        <v>0</v>
      </c>
      <c r="CV376" s="182"/>
      <c r="CW376" s="182">
        <v>0</v>
      </c>
      <c r="CX376" s="182">
        <v>1</v>
      </c>
      <c r="CY376" s="182">
        <f t="shared" si="1668"/>
        <v>54616.065382367982</v>
      </c>
      <c r="CZ376" s="182"/>
      <c r="DA376" s="182">
        <v>0</v>
      </c>
      <c r="DB376" s="188"/>
      <c r="DC376" s="182">
        <f>(DB376*$E376*$F376*$G376*$M376*$DC$12)</f>
        <v>0</v>
      </c>
      <c r="DD376" s="182"/>
      <c r="DE376" s="187"/>
      <c r="DF376" s="182"/>
      <c r="DG376" s="182">
        <f>(DF376*$E376*$F376*$G376*$M376*$DG$12)</f>
        <v>0</v>
      </c>
      <c r="DH376" s="189"/>
      <c r="DI376" s="182">
        <f>(DH376*$E376*$F376*$G376*$M376*$DI$12)</f>
        <v>0</v>
      </c>
      <c r="DJ376" s="182"/>
      <c r="DK376" s="182">
        <f>(DJ376*$E376*$F376*$G376*$M376*$DK$12)</f>
        <v>0</v>
      </c>
      <c r="DL376" s="182"/>
      <c r="DM376" s="182">
        <f>(DL376*$E376*$F376*$G376*$N376*$DM$12)</f>
        <v>0</v>
      </c>
      <c r="DN376" s="182"/>
      <c r="DO376" s="190">
        <f>(DN376*$E376*$F376*$G376*$O376*$DO$12)</f>
        <v>0</v>
      </c>
      <c r="DP376" s="187"/>
      <c r="DQ376" s="187"/>
      <c r="DR376" s="183">
        <f t="shared" si="1656"/>
        <v>119</v>
      </c>
      <c r="DS376" s="183">
        <f t="shared" si="1656"/>
        <v>6392706.2896990087</v>
      </c>
      <c r="DT376" s="182">
        <v>120</v>
      </c>
      <c r="DU376" s="182">
        <v>6309249.2270266647</v>
      </c>
      <c r="DV376" s="167">
        <f t="shared" si="1450"/>
        <v>-1</v>
      </c>
      <c r="DW376" s="167">
        <f t="shared" si="1450"/>
        <v>83457.062672344036</v>
      </c>
    </row>
    <row r="377" spans="1:127" ht="30" customHeight="1" x14ac:dyDescent="0.25">
      <c r="A377" s="154"/>
      <c r="B377" s="176">
        <v>330</v>
      </c>
      <c r="C377" s="177" t="s">
        <v>826</v>
      </c>
      <c r="D377" s="210" t="s">
        <v>827</v>
      </c>
      <c r="E377" s="158">
        <v>25969</v>
      </c>
      <c r="F377" s="179">
        <v>1.95</v>
      </c>
      <c r="G377" s="168">
        <v>1</v>
      </c>
      <c r="H377" s="169"/>
      <c r="I377" s="169"/>
      <c r="J377" s="169"/>
      <c r="K377" s="106"/>
      <c r="L377" s="180">
        <v>1.4</v>
      </c>
      <c r="M377" s="180">
        <v>1.68</v>
      </c>
      <c r="N377" s="180">
        <v>2.23</v>
      </c>
      <c r="O377" s="181">
        <v>2.57</v>
      </c>
      <c r="P377" s="244">
        <v>163</v>
      </c>
      <c r="Q377" s="182">
        <f>(P377*$E377*$F377*$G377*$L377*$Q$12)</f>
        <v>12711539.841</v>
      </c>
      <c r="R377" s="182">
        <v>29</v>
      </c>
      <c r="S377" s="182">
        <f>(R377*$E377*$F377*$G377*$L377*$S$12)</f>
        <v>2261562.3029999998</v>
      </c>
      <c r="T377" s="182">
        <v>75</v>
      </c>
      <c r="U377" s="182">
        <f t="shared" si="1659"/>
        <v>6712905.3468749998</v>
      </c>
      <c r="V377" s="182"/>
      <c r="W377" s="183">
        <f t="shared" si="1660"/>
        <v>0</v>
      </c>
      <c r="X377" s="183">
        <v>2</v>
      </c>
      <c r="Y377" s="183">
        <v>198507.03599999996</v>
      </c>
      <c r="Z377" s="183">
        <v>1</v>
      </c>
      <c r="AA377" s="183">
        <v>119104.22159999998</v>
      </c>
      <c r="AB377" s="182">
        <f t="shared" si="1661"/>
        <v>3</v>
      </c>
      <c r="AC377" s="182">
        <f t="shared" si="1661"/>
        <v>317611.25759999995</v>
      </c>
      <c r="AD377" s="182"/>
      <c r="AE377" s="182">
        <f>(AD377*$E377*$F377*$G377*$L377*$AE$12)</f>
        <v>0</v>
      </c>
      <c r="AF377" s="182"/>
      <c r="AG377" s="182"/>
      <c r="AH377" s="182">
        <v>20</v>
      </c>
      <c r="AI377" s="182">
        <f>(AH377*$E377*$F377*$G377*$L377*$AI$12)</f>
        <v>1559698.1400000001</v>
      </c>
      <c r="AJ377" s="182"/>
      <c r="AK377" s="182"/>
      <c r="AL377" s="182"/>
      <c r="AM377" s="182"/>
      <c r="AN377" s="184"/>
      <c r="AO377" s="182">
        <f>(AN377*$E377*$F377*$G377*$L377*$AO$12)</f>
        <v>0</v>
      </c>
      <c r="AP377" s="182">
        <f>45-2</f>
        <v>43</v>
      </c>
      <c r="AQ377" s="183">
        <f>(AP377*$E377*$F377*$G377*$L377*$AQ$12)</f>
        <v>3353351.0009999997</v>
      </c>
      <c r="AR377" s="182">
        <v>35</v>
      </c>
      <c r="AS377" s="182">
        <f t="shared" si="1662"/>
        <v>2946547.4599925</v>
      </c>
      <c r="AT377" s="182">
        <f>40-5</f>
        <v>35</v>
      </c>
      <c r="AU377" s="182">
        <f t="shared" si="1663"/>
        <v>3431391.1354932301</v>
      </c>
      <c r="AV377" s="188">
        <v>7</v>
      </c>
      <c r="AW377" s="182">
        <v>815863.90999999992</v>
      </c>
      <c r="AX377" s="182"/>
      <c r="AY377" s="187">
        <f>(AX377*$E377*$F377*$G377*$M377*$AY$12)</f>
        <v>0</v>
      </c>
      <c r="AZ377" s="182"/>
      <c r="BA377" s="182">
        <f>(AZ377*$E377*$F377*$G377*$L377*$BA$12)</f>
        <v>0</v>
      </c>
      <c r="BB377" s="182">
        <v>0</v>
      </c>
      <c r="BC377" s="182">
        <f>(BB377*$E377*$F377*$G377*$L377*$BC$12)</f>
        <v>0</v>
      </c>
      <c r="BD377" s="182"/>
      <c r="BE377" s="182">
        <f>(BD377*$E377*$F377*$G377*$L377*$BE$12)</f>
        <v>0</v>
      </c>
      <c r="BF377" s="182"/>
      <c r="BG377" s="182">
        <f>(BF377*$E377*$F377*$G377*$L377*$BG$12)</f>
        <v>0</v>
      </c>
      <c r="BH377" s="182"/>
      <c r="BI377" s="183">
        <f>(BH377*$E377*$F377*$G377*$L377*$BI$12)</f>
        <v>0</v>
      </c>
      <c r="BJ377" s="182"/>
      <c r="BK377" s="183">
        <f>(BJ377*$E377*$F377*$G377*$L377*$BK$12)</f>
        <v>0</v>
      </c>
      <c r="BL377" s="182">
        <v>11</v>
      </c>
      <c r="BM377" s="182">
        <f t="shared" si="1669"/>
        <v>1088574.1601334598</v>
      </c>
      <c r="BN377" s="182">
        <v>14</v>
      </c>
      <c r="BO377" s="182">
        <f>(BN377*$E377*$F377*$G377*$M377*$BO$12)</f>
        <v>1310146.4375999998</v>
      </c>
      <c r="BP377" s="182"/>
      <c r="BQ377" s="182">
        <f>(BP377*$E377*$F377*$G377*$M377*$BQ$12)</f>
        <v>0</v>
      </c>
      <c r="BR377" s="182"/>
      <c r="BS377" s="183">
        <f>(BR377*$E377*$F377*$G377*$M377*$BS$12)</f>
        <v>0</v>
      </c>
      <c r="BT377" s="182">
        <v>8</v>
      </c>
      <c r="BU377" s="182">
        <f t="shared" si="1670"/>
        <v>758184.35238873586</v>
      </c>
      <c r="BV377" s="182"/>
      <c r="BW377" s="182">
        <f>(BV377*$E377*$F377*$G377*$M377*$BW$12)</f>
        <v>0</v>
      </c>
      <c r="BX377" s="182">
        <v>2</v>
      </c>
      <c r="BY377" s="183">
        <f t="shared" ref="BY377" si="1671">(BX377*$E377*$F377*$G377*$M377*$BY$12)/12*11+(BX377*$E377*$F377*$G377*$M377*$BY$12*$BY$15)/12</f>
        <v>229476.40226783996</v>
      </c>
      <c r="BZ377" s="182">
        <v>15</v>
      </c>
      <c r="CA377" s="187">
        <f t="shared" si="1664"/>
        <v>1667788.7658704999</v>
      </c>
      <c r="CB377" s="182"/>
      <c r="CC377" s="182">
        <f>(CB377*$E377*$F377*$G377*$L377*$CC$12)</f>
        <v>0</v>
      </c>
      <c r="CD377" s="182"/>
      <c r="CE377" s="182">
        <f>(CD377*$E377*$F377*$G377*$L377*$CE$12)</f>
        <v>0</v>
      </c>
      <c r="CF377" s="182"/>
      <c r="CG377" s="182">
        <f>(CF377*$E377*$F377*$G377*$L377*$CG$12)</f>
        <v>0</v>
      </c>
      <c r="CH377" s="182">
        <v>1</v>
      </c>
      <c r="CI377" s="182">
        <f t="shared" si="1665"/>
        <v>94809.937999139991</v>
      </c>
      <c r="CJ377" s="182"/>
      <c r="CK377" s="182"/>
      <c r="CL377" s="182"/>
      <c r="CM377" s="183">
        <f>(CL377*$E377*$F377*$G377*$L377*$CM$12)</f>
        <v>0</v>
      </c>
      <c r="CN377" s="182"/>
      <c r="CO377" s="183">
        <f>(CN377*$E377*$F377*$G377*$L377*$CO$12)</f>
        <v>0</v>
      </c>
      <c r="CP377" s="182"/>
      <c r="CQ377" s="182">
        <f>(CP377*$E377*$F377*$G377*$L377*$CQ$12)</f>
        <v>0</v>
      </c>
      <c r="CR377" s="182">
        <v>6</v>
      </c>
      <c r="CS377" s="182">
        <f t="shared" ref="CS377" si="1672">(CR377*$E377*$F377*$G377*$L377*$CS$12)/12*10+(CR377*$E377*$F377*$G377*$L377*$CS$13)/12+(CR377*$E377*$F377*$G377*$L377*$CS$13*$CS$15)/12</f>
        <v>509965.28443769994</v>
      </c>
      <c r="CT377" s="182">
        <v>4</v>
      </c>
      <c r="CU377" s="182">
        <f t="shared" ref="CU377" si="1673">(CT377*$E377*$F377*$G377*$L377*$CU$12)/12*11+(CT377*$E377*$F377*$G377*$L377*$CU$12*$CU$15)/12</f>
        <v>297701.00188919995</v>
      </c>
      <c r="CV377" s="182">
        <v>21</v>
      </c>
      <c r="CW377" s="182">
        <v>1714249.9499999995</v>
      </c>
      <c r="CX377" s="182">
        <v>3</v>
      </c>
      <c r="CY377" s="182">
        <f t="shared" si="1668"/>
        <v>275434.46766107995</v>
      </c>
      <c r="CZ377" s="182"/>
      <c r="DA377" s="182">
        <v>0</v>
      </c>
      <c r="DB377" s="188"/>
      <c r="DC377" s="182">
        <f>(DB377*$E377*$F377*$G377*$M377*$DC$12)</f>
        <v>0</v>
      </c>
      <c r="DD377" s="182"/>
      <c r="DE377" s="187"/>
      <c r="DF377" s="182"/>
      <c r="DG377" s="182">
        <f>(DF377*$E377*$F377*$G377*$M377*$DG$12)</f>
        <v>0</v>
      </c>
      <c r="DH377" s="189"/>
      <c r="DI377" s="182">
        <f>(DH377*$E377*$F377*$G377*$M377*$DI$12)</f>
        <v>0</v>
      </c>
      <c r="DJ377" s="182"/>
      <c r="DK377" s="182">
        <f>(DJ377/12*11*$E377*$F377*$G377*$M377*$DK$12)+(DJ377/12*1*$E377*$F377*$M377*$G377*$DK$12*$DK$15)</f>
        <v>0</v>
      </c>
      <c r="DL377" s="182"/>
      <c r="DM377" s="182">
        <f>(DL377*$E377*$F377*$G377*$N377*$DM$12)</f>
        <v>0</v>
      </c>
      <c r="DN377" s="182"/>
      <c r="DO377" s="190">
        <f>(DN377*$E377*$F377*$G377*$O377*$DO$12)</f>
        <v>0</v>
      </c>
      <c r="DP377" s="187"/>
      <c r="DQ377" s="187"/>
      <c r="DR377" s="183">
        <f t="shared" si="1656"/>
        <v>495</v>
      </c>
      <c r="DS377" s="183">
        <f t="shared" si="1656"/>
        <v>42056801.155208386</v>
      </c>
      <c r="DT377" s="182">
        <v>501</v>
      </c>
      <c r="DU377" s="182">
        <v>41804045.618649997</v>
      </c>
      <c r="DV377" s="167">
        <f t="shared" si="1450"/>
        <v>-6</v>
      </c>
      <c r="DW377" s="167">
        <f t="shared" si="1450"/>
        <v>252755.53655838966</v>
      </c>
    </row>
    <row r="378" spans="1:127" ht="30" x14ac:dyDescent="0.25">
      <c r="A378" s="154"/>
      <c r="B378" s="176">
        <v>331</v>
      </c>
      <c r="C378" s="177" t="s">
        <v>828</v>
      </c>
      <c r="D378" s="210" t="s">
        <v>829</v>
      </c>
      <c r="E378" s="158">
        <v>25969</v>
      </c>
      <c r="F378" s="179">
        <v>2.46</v>
      </c>
      <c r="G378" s="168">
        <v>1</v>
      </c>
      <c r="H378" s="169"/>
      <c r="I378" s="169"/>
      <c r="J378" s="169"/>
      <c r="K378" s="106"/>
      <c r="L378" s="180">
        <v>1.4</v>
      </c>
      <c r="M378" s="180">
        <v>1.68</v>
      </c>
      <c r="N378" s="180">
        <v>2.23</v>
      </c>
      <c r="O378" s="181">
        <v>2.57</v>
      </c>
      <c r="P378" s="244">
        <v>20</v>
      </c>
      <c r="Q378" s="182">
        <f t="shared" ref="Q378:Q383" si="1674">(P378*$E378*$F378*$G378*$L378)</f>
        <v>1788744.72</v>
      </c>
      <c r="R378" s="182"/>
      <c r="S378" s="187">
        <f t="shared" ref="S378:S383" si="1675">(R378*$E378*$F378*$G378*$L378)</f>
        <v>0</v>
      </c>
      <c r="T378" s="182"/>
      <c r="U378" s="182">
        <f t="shared" ref="U378:U383" si="1676">(T378*$E378*$F378*$G378*$L378)</f>
        <v>0</v>
      </c>
      <c r="V378" s="182"/>
      <c r="W378" s="182">
        <f t="shared" ref="W378:W383" si="1677">(V378*$E378*$F378*$G378*$L378)</f>
        <v>0</v>
      </c>
      <c r="X378" s="182"/>
      <c r="Y378" s="182">
        <v>0</v>
      </c>
      <c r="Z378" s="182"/>
      <c r="AA378" s="182">
        <v>0</v>
      </c>
      <c r="AB378" s="182">
        <f t="shared" si="1661"/>
        <v>0</v>
      </c>
      <c r="AC378" s="182">
        <f t="shared" si="1661"/>
        <v>0</v>
      </c>
      <c r="AD378" s="182"/>
      <c r="AE378" s="182">
        <f t="shared" ref="AE378:AE383" si="1678">(AD378*$E378*$F378*$G378*$L378)</f>
        <v>0</v>
      </c>
      <c r="AF378" s="182"/>
      <c r="AG378" s="182"/>
      <c r="AH378" s="182">
        <v>2</v>
      </c>
      <c r="AI378" s="182">
        <f t="shared" ref="AI378:AI383" si="1679">(AH378*$E378*$F378*$G378*$L378)</f>
        <v>178874.47199999998</v>
      </c>
      <c r="AJ378" s="182"/>
      <c r="AK378" s="182"/>
      <c r="AL378" s="182"/>
      <c r="AM378" s="182"/>
      <c r="AN378" s="184"/>
      <c r="AO378" s="182">
        <f t="shared" ref="AO378:AO383" si="1680">(AN378*$E378*$F378*$G378*$L378)</f>
        <v>0</v>
      </c>
      <c r="AP378" s="182">
        <v>2</v>
      </c>
      <c r="AQ378" s="182">
        <f t="shared" ref="AQ378:AQ383" si="1681">(AP378*$E378*$F378*$G378*$L378)</f>
        <v>178874.47199999998</v>
      </c>
      <c r="AR378" s="182">
        <v>2</v>
      </c>
      <c r="AS378" s="182">
        <f t="shared" ref="AS378:AS383" si="1682">(AR378*$E378*$F378*$G378*$L378)</f>
        <v>178874.47199999998</v>
      </c>
      <c r="AT378" s="182">
        <v>1</v>
      </c>
      <c r="AU378" s="183">
        <f t="shared" ref="AU378:AU383" si="1683">(AT378*$E378*$F378*$G378*$M378)</f>
        <v>107324.6832</v>
      </c>
      <c r="AV378" s="188">
        <v>0</v>
      </c>
      <c r="AW378" s="182">
        <v>0</v>
      </c>
      <c r="AX378" s="182"/>
      <c r="AY378" s="187">
        <f t="shared" ref="AY378:AY383" si="1684">(AX378*$E378*$F378*$G378*$M378)</f>
        <v>0</v>
      </c>
      <c r="AZ378" s="182"/>
      <c r="BA378" s="182">
        <f t="shared" ref="BA378:BA383" si="1685">(AZ378*$E378*$F378*$G378*$L378*$AO$12)</f>
        <v>0</v>
      </c>
      <c r="BB378" s="182">
        <v>0</v>
      </c>
      <c r="BC378" s="182">
        <f t="shared" ref="BC378:BC383" si="1686">(BB378*$E378*$F378*$G378*$L378*BC$12)</f>
        <v>0</v>
      </c>
      <c r="BD378" s="182"/>
      <c r="BE378" s="182">
        <f t="shared" ref="BE378:BE383" si="1687">(BD378*$E378*$F378*$G378*$L378*BE$12)</f>
        <v>0</v>
      </c>
      <c r="BF378" s="182"/>
      <c r="BG378" s="182">
        <f t="shared" ref="BG378:BG383" si="1688">(BF378*$E378*$F378*$G378*$L378)</f>
        <v>0</v>
      </c>
      <c r="BH378" s="182"/>
      <c r="BI378" s="182">
        <f t="shared" ref="BI378:BI383" si="1689">(BH378*$E378*$F378*$G378*$L378)</f>
        <v>0</v>
      </c>
      <c r="BJ378" s="182"/>
      <c r="BK378" s="182"/>
      <c r="BL378" s="182"/>
      <c r="BM378" s="182">
        <f t="shared" ref="BM378:BM383" si="1690">(BL378*$E378*$F378*$G378*$L378)</f>
        <v>0</v>
      </c>
      <c r="BN378" s="182"/>
      <c r="BO378" s="182">
        <f t="shared" ref="BO378:BO383" si="1691">(BN378*$E378*$F378*$G378*$M378)</f>
        <v>0</v>
      </c>
      <c r="BP378" s="182"/>
      <c r="BQ378" s="182">
        <f t="shared" ref="BQ378:BQ383" si="1692">(BP378*$E378*$F378*$G378*$M378)</f>
        <v>0</v>
      </c>
      <c r="BR378" s="182"/>
      <c r="BS378" s="182">
        <f t="shared" ref="BS378:BS383" si="1693">(BR378*$E378*$F378*$G378*$M378)</f>
        <v>0</v>
      </c>
      <c r="BT378" s="182"/>
      <c r="BU378" s="182">
        <f t="shared" ref="BU378:BU383" si="1694">(BT378*$E378*$F378*$G378*$M378)</f>
        <v>0</v>
      </c>
      <c r="BV378" s="182"/>
      <c r="BW378" s="182">
        <f t="shared" ref="BW378:BW383" si="1695">(BV378*$E378*$F378*$G378*$M378)</f>
        <v>0</v>
      </c>
      <c r="BX378" s="182"/>
      <c r="BY378" s="182">
        <f t="shared" ref="BY378:BY383" si="1696">(BX378*$E378*$F378*$G378*$M378)</f>
        <v>0</v>
      </c>
      <c r="BZ378" s="182">
        <v>2</v>
      </c>
      <c r="CA378" s="187">
        <f t="shared" ref="CA378:CA383" si="1697">(BZ378*$E378*$F378*$G378*$M378)</f>
        <v>214649.3664</v>
      </c>
      <c r="CB378" s="182"/>
      <c r="CC378" s="182">
        <f t="shared" ref="CC378:CC383" si="1698">(CB378*$E378*$F378*$G378*$L378)</f>
        <v>0</v>
      </c>
      <c r="CD378" s="182"/>
      <c r="CE378" s="183">
        <f t="shared" ref="CE378:CE383" si="1699">(CD378*$E378*$F378*$G378*$L378)</f>
        <v>0</v>
      </c>
      <c r="CF378" s="182"/>
      <c r="CG378" s="182">
        <f t="shared" ref="CG378:CG383" si="1700">(CF378*$E378*$F378*$G378*$L378)</f>
        <v>0</v>
      </c>
      <c r="CH378" s="182"/>
      <c r="CI378" s="182">
        <f t="shared" ref="CI378:CI383" si="1701">(CH378*$E378*$F378*$G378*$M378)</f>
        <v>0</v>
      </c>
      <c r="CJ378" s="182"/>
      <c r="CK378" s="182"/>
      <c r="CL378" s="182"/>
      <c r="CM378" s="182">
        <f t="shared" ref="CM378:CM383" si="1702">(CL378*$E378*$F378*$G378*$L378)</f>
        <v>0</v>
      </c>
      <c r="CN378" s="182"/>
      <c r="CO378" s="182">
        <f t="shared" ref="CO378:CO383" si="1703">(CN378*$E378*$F378*$G378*$L378)</f>
        <v>0</v>
      </c>
      <c r="CP378" s="182"/>
      <c r="CQ378" s="182">
        <f t="shared" ref="CQ378:CQ383" si="1704">(CP378*$E378*$F378*$G378*$L378)</f>
        <v>0</v>
      </c>
      <c r="CR378" s="182"/>
      <c r="CS378" s="182">
        <f t="shared" ref="CS378:CS383" si="1705">(CR378*$E378*$F378*$G378*$L378)</f>
        <v>0</v>
      </c>
      <c r="CT378" s="182"/>
      <c r="CU378" s="182">
        <f t="shared" ref="CU378:CU383" si="1706">(CT378*$E378*$F378*$G378*$L378)</f>
        <v>0</v>
      </c>
      <c r="CV378" s="182"/>
      <c r="CW378" s="182">
        <v>0</v>
      </c>
      <c r="CX378" s="182"/>
      <c r="CY378" s="182">
        <f t="shared" ref="CY378:CY383" si="1707">(CX378*$E378*$F378*$G378*$M378)</f>
        <v>0</v>
      </c>
      <c r="CZ378" s="182"/>
      <c r="DA378" s="182">
        <v>0</v>
      </c>
      <c r="DB378" s="188"/>
      <c r="DC378" s="182">
        <f t="shared" ref="DC378:DC383" si="1708">(DB378*$E378*$F378*$G378*$M378)</f>
        <v>0</v>
      </c>
      <c r="DD378" s="182"/>
      <c r="DE378" s="187">
        <f t="shared" ref="DE378:DE383" si="1709">(DD378*$E378*$F378*$G378*$M378)</f>
        <v>0</v>
      </c>
      <c r="DF378" s="182"/>
      <c r="DG378" s="182"/>
      <c r="DH378" s="189"/>
      <c r="DI378" s="182">
        <f t="shared" ref="DI378:DI383" si="1710">(DH378*$E378*$F378*$G378*$M378)</f>
        <v>0</v>
      </c>
      <c r="DJ378" s="182"/>
      <c r="DK378" s="182">
        <f t="shared" ref="DK378:DK383" si="1711">(DJ378*$E378*$F378*$G378*$M378)</f>
        <v>0</v>
      </c>
      <c r="DL378" s="182"/>
      <c r="DM378" s="182">
        <f t="shared" ref="DM378:DM383" si="1712">(DL378*$E378*$F378*$G378*$N378)</f>
        <v>0</v>
      </c>
      <c r="DN378" s="182"/>
      <c r="DO378" s="187">
        <f t="shared" ref="DO378:DO383" si="1713">(DN378*$E378*$F378*$G378*$O378)</f>
        <v>0</v>
      </c>
      <c r="DP378" s="187"/>
      <c r="DQ378" s="187"/>
      <c r="DR378" s="183">
        <f t="shared" si="1656"/>
        <v>29</v>
      </c>
      <c r="DS378" s="183">
        <f t="shared" si="1656"/>
        <v>2647342.1856</v>
      </c>
      <c r="DT378" s="182">
        <v>29</v>
      </c>
      <c r="DU378" s="182">
        <v>2647342.1856</v>
      </c>
      <c r="DV378" s="167">
        <f t="shared" si="1450"/>
        <v>0</v>
      </c>
      <c r="DW378" s="167">
        <f t="shared" si="1450"/>
        <v>0</v>
      </c>
    </row>
    <row r="379" spans="1:127" x14ac:dyDescent="0.25">
      <c r="A379" s="154"/>
      <c r="B379" s="176">
        <v>332</v>
      </c>
      <c r="C379" s="177" t="s">
        <v>830</v>
      </c>
      <c r="D379" s="210" t="s">
        <v>831</v>
      </c>
      <c r="E379" s="158">
        <v>25969</v>
      </c>
      <c r="F379" s="179">
        <v>0.73</v>
      </c>
      <c r="G379" s="168">
        <v>1</v>
      </c>
      <c r="H379" s="169"/>
      <c r="I379" s="169"/>
      <c r="J379" s="169"/>
      <c r="K379" s="106"/>
      <c r="L379" s="180">
        <v>1.4</v>
      </c>
      <c r="M379" s="180">
        <v>1.68</v>
      </c>
      <c r="N379" s="180">
        <v>2.23</v>
      </c>
      <c r="O379" s="181">
        <v>2.57</v>
      </c>
      <c r="P379" s="244">
        <v>20</v>
      </c>
      <c r="Q379" s="182">
        <f t="shared" si="1674"/>
        <v>530806.35999999987</v>
      </c>
      <c r="R379" s="182">
        <v>60</v>
      </c>
      <c r="S379" s="187">
        <f t="shared" si="1675"/>
        <v>1592419.0799999998</v>
      </c>
      <c r="T379" s="182"/>
      <c r="U379" s="182">
        <f t="shared" si="1676"/>
        <v>0</v>
      </c>
      <c r="V379" s="182"/>
      <c r="W379" s="182">
        <f t="shared" si="1677"/>
        <v>0</v>
      </c>
      <c r="X379" s="182"/>
      <c r="Y379" s="182">
        <v>0</v>
      </c>
      <c r="Z379" s="182"/>
      <c r="AA379" s="182">
        <v>0</v>
      </c>
      <c r="AB379" s="182">
        <f t="shared" si="1661"/>
        <v>0</v>
      </c>
      <c r="AC379" s="182">
        <f t="shared" si="1661"/>
        <v>0</v>
      </c>
      <c r="AD379" s="182"/>
      <c r="AE379" s="182">
        <f t="shared" si="1678"/>
        <v>0</v>
      </c>
      <c r="AF379" s="182"/>
      <c r="AG379" s="182"/>
      <c r="AH379" s="182">
        <v>15</v>
      </c>
      <c r="AI379" s="182">
        <f t="shared" si="1679"/>
        <v>398104.76999999996</v>
      </c>
      <c r="AJ379" s="182"/>
      <c r="AK379" s="182"/>
      <c r="AL379" s="182"/>
      <c r="AM379" s="182"/>
      <c r="AN379" s="184"/>
      <c r="AO379" s="182">
        <f t="shared" si="1680"/>
        <v>0</v>
      </c>
      <c r="AP379" s="182">
        <f>174-35</f>
        <v>139</v>
      </c>
      <c r="AQ379" s="182">
        <f t="shared" si="1681"/>
        <v>3689104.202</v>
      </c>
      <c r="AR379" s="182">
        <v>152</v>
      </c>
      <c r="AS379" s="182">
        <f t="shared" si="1682"/>
        <v>4034128.3359999992</v>
      </c>
      <c r="AT379" s="182">
        <v>114</v>
      </c>
      <c r="AU379" s="183">
        <f t="shared" si="1683"/>
        <v>3630715.5024000001</v>
      </c>
      <c r="AV379" s="186">
        <v>0</v>
      </c>
      <c r="AW379" s="182">
        <v>0</v>
      </c>
      <c r="AX379" s="182">
        <v>1</v>
      </c>
      <c r="AY379" s="187">
        <f t="shared" si="1684"/>
        <v>31848.381599999997</v>
      </c>
      <c r="AZ379" s="182"/>
      <c r="BA379" s="182">
        <f t="shared" si="1685"/>
        <v>0</v>
      </c>
      <c r="BB379" s="182">
        <v>0</v>
      </c>
      <c r="BC379" s="182">
        <f t="shared" si="1686"/>
        <v>0</v>
      </c>
      <c r="BD379" s="182"/>
      <c r="BE379" s="182">
        <f t="shared" si="1687"/>
        <v>0</v>
      </c>
      <c r="BF379" s="182"/>
      <c r="BG379" s="182">
        <f t="shared" si="1688"/>
        <v>0</v>
      </c>
      <c r="BH379" s="182"/>
      <c r="BI379" s="182">
        <f t="shared" si="1689"/>
        <v>0</v>
      </c>
      <c r="BJ379" s="182"/>
      <c r="BK379" s="182"/>
      <c r="BL379" s="182">
        <v>14</v>
      </c>
      <c r="BM379" s="182">
        <f t="shared" si="1690"/>
        <v>371564.45199999999</v>
      </c>
      <c r="BN379" s="182">
        <v>65</v>
      </c>
      <c r="BO379" s="182">
        <f t="shared" si="1691"/>
        <v>2070144.804</v>
      </c>
      <c r="BP379" s="182"/>
      <c r="BQ379" s="182">
        <f t="shared" si="1692"/>
        <v>0</v>
      </c>
      <c r="BR379" s="182"/>
      <c r="BS379" s="182">
        <f t="shared" si="1693"/>
        <v>0</v>
      </c>
      <c r="BT379" s="182">
        <v>20</v>
      </c>
      <c r="BU379" s="182">
        <f t="shared" si="1694"/>
        <v>636967.63199999987</v>
      </c>
      <c r="BV379" s="182"/>
      <c r="BW379" s="182">
        <f t="shared" si="1695"/>
        <v>0</v>
      </c>
      <c r="BX379" s="182">
        <v>16</v>
      </c>
      <c r="BY379" s="182">
        <f t="shared" si="1696"/>
        <v>509574.10559999995</v>
      </c>
      <c r="BZ379" s="182">
        <v>30</v>
      </c>
      <c r="CA379" s="187">
        <f t="shared" si="1697"/>
        <v>955451.44799999997</v>
      </c>
      <c r="CB379" s="182"/>
      <c r="CC379" s="182">
        <f t="shared" si="1698"/>
        <v>0</v>
      </c>
      <c r="CD379" s="182"/>
      <c r="CE379" s="183">
        <f t="shared" si="1699"/>
        <v>0</v>
      </c>
      <c r="CF379" s="182"/>
      <c r="CG379" s="182">
        <f t="shared" si="1700"/>
        <v>0</v>
      </c>
      <c r="CH379" s="182">
        <v>13</v>
      </c>
      <c r="CI379" s="182">
        <f t="shared" si="1701"/>
        <v>414028.9608</v>
      </c>
      <c r="CJ379" s="182"/>
      <c r="CK379" s="182"/>
      <c r="CL379" s="182"/>
      <c r="CM379" s="182">
        <f t="shared" si="1702"/>
        <v>0</v>
      </c>
      <c r="CN379" s="182"/>
      <c r="CO379" s="182">
        <f t="shared" si="1703"/>
        <v>0</v>
      </c>
      <c r="CP379" s="182">
        <v>20</v>
      </c>
      <c r="CQ379" s="182">
        <f t="shared" si="1704"/>
        <v>530806.35999999987</v>
      </c>
      <c r="CR379" s="182">
        <v>18</v>
      </c>
      <c r="CS379" s="182">
        <f t="shared" si="1705"/>
        <v>477725.72399999993</v>
      </c>
      <c r="CT379" s="182">
        <v>17</v>
      </c>
      <c r="CU379" s="182">
        <f t="shared" si="1706"/>
        <v>451185.40599999996</v>
      </c>
      <c r="CV379" s="182">
        <v>29</v>
      </c>
      <c r="CW379" s="182">
        <v>923603.02</v>
      </c>
      <c r="CX379" s="182">
        <v>30</v>
      </c>
      <c r="CY379" s="182">
        <f t="shared" si="1707"/>
        <v>955451.44799999997</v>
      </c>
      <c r="CZ379" s="182"/>
      <c r="DA379" s="182">
        <v>0</v>
      </c>
      <c r="DB379" s="188"/>
      <c r="DC379" s="182">
        <f t="shared" si="1708"/>
        <v>0</v>
      </c>
      <c r="DD379" s="182"/>
      <c r="DE379" s="187">
        <f t="shared" si="1709"/>
        <v>0</v>
      </c>
      <c r="DF379" s="182">
        <v>1</v>
      </c>
      <c r="DG379" s="182">
        <f>(DF379*$E379*$F379*$G379*$M379)</f>
        <v>31848.381599999997</v>
      </c>
      <c r="DH379" s="189"/>
      <c r="DI379" s="182">
        <f t="shared" si="1710"/>
        <v>0</v>
      </c>
      <c r="DJ379" s="182">
        <v>6</v>
      </c>
      <c r="DK379" s="182">
        <f t="shared" si="1711"/>
        <v>191090.28959999999</v>
      </c>
      <c r="DL379" s="182"/>
      <c r="DM379" s="182">
        <f t="shared" si="1712"/>
        <v>0</v>
      </c>
      <c r="DN379" s="182">
        <f>ROUND(2*0.75,0)</f>
        <v>2</v>
      </c>
      <c r="DO379" s="187">
        <f t="shared" si="1713"/>
        <v>97440.881799999988</v>
      </c>
      <c r="DP379" s="187"/>
      <c r="DQ379" s="187"/>
      <c r="DR379" s="183">
        <f t="shared" si="1656"/>
        <v>782</v>
      </c>
      <c r="DS379" s="183">
        <f t="shared" si="1656"/>
        <v>22524009.545399994</v>
      </c>
      <c r="DT379" s="182">
        <v>786</v>
      </c>
      <c r="DU379" s="182">
        <v>22630170.817399994</v>
      </c>
      <c r="DV379" s="167">
        <f t="shared" si="1450"/>
        <v>-4</v>
      </c>
      <c r="DW379" s="167">
        <f t="shared" si="1450"/>
        <v>-106161.27199999988</v>
      </c>
    </row>
    <row r="380" spans="1:127" x14ac:dyDescent="0.25">
      <c r="A380" s="154"/>
      <c r="B380" s="176">
        <v>333</v>
      </c>
      <c r="C380" s="177" t="s">
        <v>832</v>
      </c>
      <c r="D380" s="210" t="s">
        <v>833</v>
      </c>
      <c r="E380" s="158">
        <v>25969</v>
      </c>
      <c r="F380" s="179">
        <v>0.91</v>
      </c>
      <c r="G380" s="168">
        <v>1</v>
      </c>
      <c r="H380" s="169"/>
      <c r="I380" s="169"/>
      <c r="J380" s="169"/>
      <c r="K380" s="106"/>
      <c r="L380" s="180">
        <v>1.4</v>
      </c>
      <c r="M380" s="180">
        <v>1.68</v>
      </c>
      <c r="N380" s="180">
        <v>2.23</v>
      </c>
      <c r="O380" s="181">
        <v>2.57</v>
      </c>
      <c r="P380" s="244">
        <v>60</v>
      </c>
      <c r="Q380" s="182">
        <f t="shared" si="1674"/>
        <v>1985070.36</v>
      </c>
      <c r="R380" s="182">
        <v>3</v>
      </c>
      <c r="S380" s="187">
        <f t="shared" si="1675"/>
        <v>99253.517999999982</v>
      </c>
      <c r="T380" s="182"/>
      <c r="U380" s="182">
        <f t="shared" si="1676"/>
        <v>0</v>
      </c>
      <c r="V380" s="182"/>
      <c r="W380" s="182">
        <f t="shared" si="1677"/>
        <v>0</v>
      </c>
      <c r="X380" s="182"/>
      <c r="Y380" s="182">
        <v>0</v>
      </c>
      <c r="Z380" s="182"/>
      <c r="AA380" s="182">
        <v>0</v>
      </c>
      <c r="AB380" s="182">
        <f t="shared" si="1661"/>
        <v>0</v>
      </c>
      <c r="AC380" s="182">
        <f t="shared" si="1661"/>
        <v>0</v>
      </c>
      <c r="AD380" s="182"/>
      <c r="AE380" s="182">
        <f t="shared" si="1678"/>
        <v>0</v>
      </c>
      <c r="AF380" s="182"/>
      <c r="AG380" s="182"/>
      <c r="AH380" s="182">
        <v>80</v>
      </c>
      <c r="AI380" s="182">
        <f t="shared" si="1679"/>
        <v>2646760.48</v>
      </c>
      <c r="AJ380" s="182"/>
      <c r="AK380" s="182"/>
      <c r="AL380" s="182"/>
      <c r="AM380" s="182"/>
      <c r="AN380" s="184"/>
      <c r="AO380" s="182">
        <f t="shared" si="1680"/>
        <v>0</v>
      </c>
      <c r="AP380" s="182">
        <v>53</v>
      </c>
      <c r="AQ380" s="182">
        <f t="shared" si="1681"/>
        <v>1753478.818</v>
      </c>
      <c r="AR380" s="182">
        <v>22</v>
      </c>
      <c r="AS380" s="182">
        <f t="shared" si="1682"/>
        <v>727859.13199999998</v>
      </c>
      <c r="AT380" s="182">
        <v>17</v>
      </c>
      <c r="AU380" s="183">
        <f t="shared" si="1683"/>
        <v>674923.92239999992</v>
      </c>
      <c r="AV380" s="188">
        <v>0</v>
      </c>
      <c r="AW380" s="182">
        <v>0</v>
      </c>
      <c r="AX380" s="182"/>
      <c r="AY380" s="187">
        <f t="shared" si="1684"/>
        <v>0</v>
      </c>
      <c r="AZ380" s="182"/>
      <c r="BA380" s="182">
        <f t="shared" si="1685"/>
        <v>0</v>
      </c>
      <c r="BB380" s="182">
        <v>0</v>
      </c>
      <c r="BC380" s="182">
        <f t="shared" si="1686"/>
        <v>0</v>
      </c>
      <c r="BD380" s="182"/>
      <c r="BE380" s="182">
        <f t="shared" si="1687"/>
        <v>0</v>
      </c>
      <c r="BF380" s="182"/>
      <c r="BG380" s="182">
        <f t="shared" si="1688"/>
        <v>0</v>
      </c>
      <c r="BH380" s="182"/>
      <c r="BI380" s="182">
        <f t="shared" si="1689"/>
        <v>0</v>
      </c>
      <c r="BJ380" s="182"/>
      <c r="BK380" s="182"/>
      <c r="BL380" s="182"/>
      <c r="BM380" s="182">
        <f t="shared" si="1690"/>
        <v>0</v>
      </c>
      <c r="BN380" s="182"/>
      <c r="BO380" s="182">
        <f t="shared" si="1691"/>
        <v>0</v>
      </c>
      <c r="BP380" s="182"/>
      <c r="BQ380" s="182">
        <f t="shared" si="1692"/>
        <v>0</v>
      </c>
      <c r="BR380" s="182"/>
      <c r="BS380" s="182">
        <f t="shared" si="1693"/>
        <v>0</v>
      </c>
      <c r="BT380" s="182">
        <v>20</v>
      </c>
      <c r="BU380" s="182">
        <f t="shared" si="1694"/>
        <v>794028.14399999997</v>
      </c>
      <c r="BV380" s="182"/>
      <c r="BW380" s="182">
        <f t="shared" si="1695"/>
        <v>0</v>
      </c>
      <c r="BX380" s="182"/>
      <c r="BY380" s="182">
        <f t="shared" si="1696"/>
        <v>0</v>
      </c>
      <c r="BZ380" s="182"/>
      <c r="CA380" s="187">
        <f t="shared" si="1697"/>
        <v>0</v>
      </c>
      <c r="CB380" s="182"/>
      <c r="CC380" s="182">
        <f t="shared" si="1698"/>
        <v>0</v>
      </c>
      <c r="CD380" s="182"/>
      <c r="CE380" s="183">
        <f t="shared" si="1699"/>
        <v>0</v>
      </c>
      <c r="CF380" s="182"/>
      <c r="CG380" s="182">
        <f t="shared" si="1700"/>
        <v>0</v>
      </c>
      <c r="CH380" s="182"/>
      <c r="CI380" s="182">
        <f t="shared" si="1701"/>
        <v>0</v>
      </c>
      <c r="CJ380" s="182"/>
      <c r="CK380" s="182"/>
      <c r="CL380" s="182"/>
      <c r="CM380" s="182">
        <f t="shared" si="1702"/>
        <v>0</v>
      </c>
      <c r="CN380" s="182"/>
      <c r="CO380" s="182">
        <f t="shared" si="1703"/>
        <v>0</v>
      </c>
      <c r="CP380" s="182"/>
      <c r="CQ380" s="182">
        <f t="shared" si="1704"/>
        <v>0</v>
      </c>
      <c r="CR380" s="182"/>
      <c r="CS380" s="182">
        <f t="shared" si="1705"/>
        <v>0</v>
      </c>
      <c r="CT380" s="182"/>
      <c r="CU380" s="182">
        <f t="shared" si="1706"/>
        <v>0</v>
      </c>
      <c r="CV380" s="182"/>
      <c r="CW380" s="182">
        <v>0</v>
      </c>
      <c r="CX380" s="182">
        <v>30</v>
      </c>
      <c r="CY380" s="182">
        <f t="shared" si="1707"/>
        <v>1191042.216</v>
      </c>
      <c r="CZ380" s="182"/>
      <c r="DA380" s="182">
        <v>0</v>
      </c>
      <c r="DB380" s="188"/>
      <c r="DC380" s="182">
        <f t="shared" si="1708"/>
        <v>0</v>
      </c>
      <c r="DD380" s="182"/>
      <c r="DE380" s="187">
        <f t="shared" si="1709"/>
        <v>0</v>
      </c>
      <c r="DF380" s="182"/>
      <c r="DG380" s="182"/>
      <c r="DH380" s="189"/>
      <c r="DI380" s="182">
        <f t="shared" si="1710"/>
        <v>0</v>
      </c>
      <c r="DJ380" s="182"/>
      <c r="DK380" s="182">
        <f t="shared" si="1711"/>
        <v>0</v>
      </c>
      <c r="DL380" s="182"/>
      <c r="DM380" s="182">
        <f t="shared" si="1712"/>
        <v>0</v>
      </c>
      <c r="DN380" s="182"/>
      <c r="DO380" s="187">
        <f t="shared" si="1713"/>
        <v>0</v>
      </c>
      <c r="DP380" s="187"/>
      <c r="DQ380" s="187"/>
      <c r="DR380" s="183">
        <f t="shared" si="1656"/>
        <v>285</v>
      </c>
      <c r="DS380" s="183">
        <f t="shared" si="1656"/>
        <v>9872416.5903999992</v>
      </c>
      <c r="DT380" s="182">
        <v>286</v>
      </c>
      <c r="DU380" s="182">
        <v>9905501.0964000002</v>
      </c>
      <c r="DV380" s="167">
        <f t="shared" si="1450"/>
        <v>-1</v>
      </c>
      <c r="DW380" s="167">
        <f t="shared" si="1450"/>
        <v>-33084.506000000983</v>
      </c>
    </row>
    <row r="381" spans="1:127" ht="30" x14ac:dyDescent="0.25">
      <c r="A381" s="154"/>
      <c r="B381" s="176">
        <v>334</v>
      </c>
      <c r="C381" s="177" t="s">
        <v>834</v>
      </c>
      <c r="D381" s="210" t="s">
        <v>835</v>
      </c>
      <c r="E381" s="158">
        <v>25969</v>
      </c>
      <c r="F381" s="179">
        <v>0.86</v>
      </c>
      <c r="G381" s="168">
        <v>1</v>
      </c>
      <c r="H381" s="169"/>
      <c r="I381" s="169"/>
      <c r="J381" s="169"/>
      <c r="K381" s="106"/>
      <c r="L381" s="180">
        <v>1.4</v>
      </c>
      <c r="M381" s="180">
        <v>1.68</v>
      </c>
      <c r="N381" s="180">
        <v>2.23</v>
      </c>
      <c r="O381" s="181">
        <v>2.57</v>
      </c>
      <c r="P381" s="244">
        <v>54</v>
      </c>
      <c r="Q381" s="182">
        <f t="shared" si="1674"/>
        <v>1688400.5039999997</v>
      </c>
      <c r="R381" s="182">
        <v>30</v>
      </c>
      <c r="S381" s="187">
        <f t="shared" si="1675"/>
        <v>938000.27999999991</v>
      </c>
      <c r="T381" s="182"/>
      <c r="U381" s="182">
        <f t="shared" si="1676"/>
        <v>0</v>
      </c>
      <c r="V381" s="182"/>
      <c r="W381" s="182">
        <f t="shared" si="1677"/>
        <v>0</v>
      </c>
      <c r="X381" s="182"/>
      <c r="Y381" s="182">
        <v>0</v>
      </c>
      <c r="Z381" s="182">
        <v>0</v>
      </c>
      <c r="AA381" s="182">
        <v>0</v>
      </c>
      <c r="AB381" s="182">
        <f t="shared" si="1661"/>
        <v>0</v>
      </c>
      <c r="AC381" s="182">
        <f t="shared" si="1661"/>
        <v>0</v>
      </c>
      <c r="AD381" s="182"/>
      <c r="AE381" s="182">
        <f t="shared" si="1678"/>
        <v>0</v>
      </c>
      <c r="AF381" s="182"/>
      <c r="AG381" s="182"/>
      <c r="AH381" s="182">
        <v>30</v>
      </c>
      <c r="AI381" s="182">
        <f t="shared" si="1679"/>
        <v>938000.27999999991</v>
      </c>
      <c r="AJ381" s="182"/>
      <c r="AK381" s="182"/>
      <c r="AL381" s="182"/>
      <c r="AM381" s="182"/>
      <c r="AN381" s="184"/>
      <c r="AO381" s="182">
        <f t="shared" si="1680"/>
        <v>0</v>
      </c>
      <c r="AP381" s="182">
        <v>108</v>
      </c>
      <c r="AQ381" s="182">
        <f t="shared" si="1681"/>
        <v>3376801.0079999994</v>
      </c>
      <c r="AR381" s="182">
        <v>246</v>
      </c>
      <c r="AS381" s="182">
        <f t="shared" si="1682"/>
        <v>7691602.2959999992</v>
      </c>
      <c r="AT381" s="182">
        <f>100+12-8-3</f>
        <v>101</v>
      </c>
      <c r="AU381" s="183">
        <f t="shared" si="1683"/>
        <v>3789521.1311999997</v>
      </c>
      <c r="AV381" s="188">
        <v>1</v>
      </c>
      <c r="AW381" s="182">
        <v>37520.01</v>
      </c>
      <c r="AX381" s="182">
        <v>13</v>
      </c>
      <c r="AY381" s="187">
        <f t="shared" si="1684"/>
        <v>487760.14559999993</v>
      </c>
      <c r="AZ381" s="182"/>
      <c r="BA381" s="182">
        <f t="shared" si="1685"/>
        <v>0</v>
      </c>
      <c r="BB381" s="182">
        <v>0</v>
      </c>
      <c r="BC381" s="182">
        <f t="shared" si="1686"/>
        <v>0</v>
      </c>
      <c r="BD381" s="182"/>
      <c r="BE381" s="182">
        <f t="shared" si="1687"/>
        <v>0</v>
      </c>
      <c r="BF381" s="182"/>
      <c r="BG381" s="182">
        <f t="shared" si="1688"/>
        <v>0</v>
      </c>
      <c r="BH381" s="182"/>
      <c r="BI381" s="182">
        <f t="shared" si="1689"/>
        <v>0</v>
      </c>
      <c r="BJ381" s="182"/>
      <c r="BK381" s="182"/>
      <c r="BL381" s="182">
        <v>20</v>
      </c>
      <c r="BM381" s="182">
        <f t="shared" si="1690"/>
        <v>625333.5199999999</v>
      </c>
      <c r="BN381" s="182">
        <v>126</v>
      </c>
      <c r="BO381" s="182">
        <f t="shared" si="1691"/>
        <v>4727521.4112</v>
      </c>
      <c r="BP381" s="182"/>
      <c r="BQ381" s="182">
        <f t="shared" si="1692"/>
        <v>0</v>
      </c>
      <c r="BR381" s="182"/>
      <c r="BS381" s="182">
        <f t="shared" si="1693"/>
        <v>0</v>
      </c>
      <c r="BT381" s="182">
        <v>20</v>
      </c>
      <c r="BU381" s="182">
        <f t="shared" si="1694"/>
        <v>750400.22399999993</v>
      </c>
      <c r="BV381" s="182"/>
      <c r="BW381" s="182">
        <f t="shared" si="1695"/>
        <v>0</v>
      </c>
      <c r="BX381" s="182">
        <v>15</v>
      </c>
      <c r="BY381" s="182">
        <f t="shared" si="1696"/>
        <v>562800.16799999995</v>
      </c>
      <c r="BZ381" s="182">
        <v>59</v>
      </c>
      <c r="CA381" s="187">
        <f t="shared" si="1697"/>
        <v>2213680.6608000002</v>
      </c>
      <c r="CB381" s="182"/>
      <c r="CC381" s="182">
        <f t="shared" si="1698"/>
        <v>0</v>
      </c>
      <c r="CD381" s="182"/>
      <c r="CE381" s="183">
        <f t="shared" si="1699"/>
        <v>0</v>
      </c>
      <c r="CF381" s="182">
        <v>12</v>
      </c>
      <c r="CG381" s="182">
        <f t="shared" si="1700"/>
        <v>375200.11200000002</v>
      </c>
      <c r="CH381" s="182">
        <v>5</v>
      </c>
      <c r="CI381" s="182">
        <f t="shared" si="1701"/>
        <v>187600.05599999998</v>
      </c>
      <c r="CJ381" s="182"/>
      <c r="CK381" s="182"/>
      <c r="CL381" s="182"/>
      <c r="CM381" s="182">
        <f t="shared" si="1702"/>
        <v>0</v>
      </c>
      <c r="CN381" s="182">
        <v>55</v>
      </c>
      <c r="CO381" s="182">
        <f t="shared" si="1703"/>
        <v>1719667.18</v>
      </c>
      <c r="CP381" s="182">
        <v>20</v>
      </c>
      <c r="CQ381" s="182">
        <f t="shared" si="1704"/>
        <v>625333.5199999999</v>
      </c>
      <c r="CR381" s="182">
        <v>16</v>
      </c>
      <c r="CS381" s="182">
        <f t="shared" si="1705"/>
        <v>500266.81599999999</v>
      </c>
      <c r="CT381" s="182">
        <v>10</v>
      </c>
      <c r="CU381" s="182">
        <f t="shared" si="1706"/>
        <v>312666.75999999995</v>
      </c>
      <c r="CV381" s="182">
        <v>20</v>
      </c>
      <c r="CW381" s="182">
        <v>750400.20000000007</v>
      </c>
      <c r="CX381" s="182">
        <v>25</v>
      </c>
      <c r="CY381" s="182">
        <f t="shared" si="1707"/>
        <v>938000.27999999991</v>
      </c>
      <c r="CZ381" s="182"/>
      <c r="DA381" s="182">
        <v>0</v>
      </c>
      <c r="DB381" s="188"/>
      <c r="DC381" s="182">
        <f t="shared" si="1708"/>
        <v>0</v>
      </c>
      <c r="DD381" s="182"/>
      <c r="DE381" s="187">
        <f t="shared" si="1709"/>
        <v>0</v>
      </c>
      <c r="DF381" s="182"/>
      <c r="DG381" s="182"/>
      <c r="DH381" s="189">
        <f>ROUND(1*0.75,0)</f>
        <v>1</v>
      </c>
      <c r="DI381" s="182">
        <f>(DH381*$E381*$F381*$G381*$M381)</f>
        <v>37520.011200000001</v>
      </c>
      <c r="DJ381" s="182">
        <v>8</v>
      </c>
      <c r="DK381" s="182">
        <f t="shared" si="1711"/>
        <v>300160.08960000001</v>
      </c>
      <c r="DL381" s="182"/>
      <c r="DM381" s="182">
        <f t="shared" si="1712"/>
        <v>0</v>
      </c>
      <c r="DN381" s="182"/>
      <c r="DO381" s="187">
        <f t="shared" si="1713"/>
        <v>0</v>
      </c>
      <c r="DP381" s="187"/>
      <c r="DQ381" s="187"/>
      <c r="DR381" s="183">
        <f t="shared" si="1656"/>
        <v>995</v>
      </c>
      <c r="DS381" s="183">
        <f t="shared" si="1656"/>
        <v>33574156.663599998</v>
      </c>
      <c r="DT381" s="182">
        <v>976</v>
      </c>
      <c r="DU381" s="182">
        <v>32798743.099999998</v>
      </c>
      <c r="DV381" s="167">
        <f t="shared" si="1450"/>
        <v>19</v>
      </c>
      <c r="DW381" s="167">
        <f t="shared" si="1450"/>
        <v>775413.56359999999</v>
      </c>
    </row>
    <row r="382" spans="1:127" ht="30" x14ac:dyDescent="0.25">
      <c r="A382" s="154"/>
      <c r="B382" s="176">
        <v>335</v>
      </c>
      <c r="C382" s="177" t="s">
        <v>836</v>
      </c>
      <c r="D382" s="210" t="s">
        <v>837</v>
      </c>
      <c r="E382" s="158">
        <v>25969</v>
      </c>
      <c r="F382" s="179">
        <v>1.24</v>
      </c>
      <c r="G382" s="168">
        <v>1</v>
      </c>
      <c r="H382" s="169"/>
      <c r="I382" s="169"/>
      <c r="J382" s="169"/>
      <c r="K382" s="106"/>
      <c r="L382" s="180">
        <v>1.4</v>
      </c>
      <c r="M382" s="180">
        <v>1.68</v>
      </c>
      <c r="N382" s="180">
        <v>2.23</v>
      </c>
      <c r="O382" s="181">
        <v>2.57</v>
      </c>
      <c r="P382" s="244">
        <v>3</v>
      </c>
      <c r="Q382" s="182">
        <f t="shared" si="1674"/>
        <v>135246.552</v>
      </c>
      <c r="R382" s="182">
        <v>4</v>
      </c>
      <c r="S382" s="187">
        <f t="shared" si="1675"/>
        <v>180328.736</v>
      </c>
      <c r="T382" s="182"/>
      <c r="U382" s="182">
        <f t="shared" si="1676"/>
        <v>0</v>
      </c>
      <c r="V382" s="182"/>
      <c r="W382" s="182">
        <f t="shared" si="1677"/>
        <v>0</v>
      </c>
      <c r="X382" s="182"/>
      <c r="Y382" s="182">
        <v>0</v>
      </c>
      <c r="Z382" s="182">
        <v>0</v>
      </c>
      <c r="AA382" s="182">
        <v>0</v>
      </c>
      <c r="AB382" s="182">
        <f t="shared" si="1661"/>
        <v>0</v>
      </c>
      <c r="AC382" s="182">
        <f t="shared" si="1661"/>
        <v>0</v>
      </c>
      <c r="AD382" s="182"/>
      <c r="AE382" s="182">
        <f t="shared" si="1678"/>
        <v>0</v>
      </c>
      <c r="AF382" s="182"/>
      <c r="AG382" s="182"/>
      <c r="AH382" s="182">
        <v>5</v>
      </c>
      <c r="AI382" s="182">
        <f t="shared" si="1679"/>
        <v>225410.91999999998</v>
      </c>
      <c r="AJ382" s="182"/>
      <c r="AK382" s="182"/>
      <c r="AL382" s="182"/>
      <c r="AM382" s="182"/>
      <c r="AN382" s="184"/>
      <c r="AO382" s="182">
        <f t="shared" si="1680"/>
        <v>0</v>
      </c>
      <c r="AP382" s="182">
        <v>38</v>
      </c>
      <c r="AQ382" s="182">
        <f t="shared" si="1681"/>
        <v>1713122.9919999999</v>
      </c>
      <c r="AR382" s="182">
        <v>56</v>
      </c>
      <c r="AS382" s="182">
        <f t="shared" si="1682"/>
        <v>2524602.304</v>
      </c>
      <c r="AT382" s="182">
        <v>28</v>
      </c>
      <c r="AU382" s="183">
        <f t="shared" si="1683"/>
        <v>1514761.3824</v>
      </c>
      <c r="AV382" s="188">
        <v>1</v>
      </c>
      <c r="AW382" s="182">
        <v>54098.62</v>
      </c>
      <c r="AX382" s="182">
        <v>2</v>
      </c>
      <c r="AY382" s="187">
        <f t="shared" si="1684"/>
        <v>108197.24159999999</v>
      </c>
      <c r="AZ382" s="182"/>
      <c r="BA382" s="182">
        <f t="shared" si="1685"/>
        <v>0</v>
      </c>
      <c r="BB382" s="182"/>
      <c r="BC382" s="182">
        <f t="shared" si="1686"/>
        <v>0</v>
      </c>
      <c r="BD382" s="182"/>
      <c r="BE382" s="182">
        <f t="shared" si="1687"/>
        <v>0</v>
      </c>
      <c r="BF382" s="182"/>
      <c r="BG382" s="182">
        <f t="shared" si="1688"/>
        <v>0</v>
      </c>
      <c r="BH382" s="182"/>
      <c r="BI382" s="182">
        <f t="shared" si="1689"/>
        <v>0</v>
      </c>
      <c r="BJ382" s="182"/>
      <c r="BK382" s="182"/>
      <c r="BL382" s="182">
        <v>8</v>
      </c>
      <c r="BM382" s="182">
        <f t="shared" si="1690"/>
        <v>360657.47200000001</v>
      </c>
      <c r="BN382" s="182">
        <v>5</v>
      </c>
      <c r="BO382" s="182">
        <f t="shared" si="1691"/>
        <v>270493.10399999999</v>
      </c>
      <c r="BP382" s="182"/>
      <c r="BQ382" s="182">
        <f t="shared" si="1692"/>
        <v>0</v>
      </c>
      <c r="BR382" s="182"/>
      <c r="BS382" s="182">
        <f t="shared" si="1693"/>
        <v>0</v>
      </c>
      <c r="BT382" s="182">
        <v>3</v>
      </c>
      <c r="BU382" s="182">
        <f t="shared" si="1694"/>
        <v>162295.86239999998</v>
      </c>
      <c r="BV382" s="182"/>
      <c r="BW382" s="182">
        <f t="shared" si="1695"/>
        <v>0</v>
      </c>
      <c r="BX382" s="182">
        <v>1</v>
      </c>
      <c r="BY382" s="182">
        <f t="shared" si="1696"/>
        <v>54098.620799999997</v>
      </c>
      <c r="BZ382" s="182">
        <v>6</v>
      </c>
      <c r="CA382" s="187">
        <f t="shared" si="1697"/>
        <v>324591.72479999997</v>
      </c>
      <c r="CB382" s="182"/>
      <c r="CC382" s="182">
        <f t="shared" si="1698"/>
        <v>0</v>
      </c>
      <c r="CD382" s="182"/>
      <c r="CE382" s="183">
        <f t="shared" si="1699"/>
        <v>0</v>
      </c>
      <c r="CF382" s="182"/>
      <c r="CG382" s="182">
        <f t="shared" si="1700"/>
        <v>0</v>
      </c>
      <c r="CH382" s="182">
        <v>1</v>
      </c>
      <c r="CI382" s="182">
        <f t="shared" si="1701"/>
        <v>54098.620799999997</v>
      </c>
      <c r="CJ382" s="182"/>
      <c r="CK382" s="182"/>
      <c r="CL382" s="182"/>
      <c r="CM382" s="182">
        <f t="shared" si="1702"/>
        <v>0</v>
      </c>
      <c r="CN382" s="182"/>
      <c r="CO382" s="182">
        <f t="shared" si="1703"/>
        <v>0</v>
      </c>
      <c r="CP382" s="182"/>
      <c r="CQ382" s="182">
        <f t="shared" si="1704"/>
        <v>0</v>
      </c>
      <c r="CR382" s="182"/>
      <c r="CS382" s="182">
        <f t="shared" si="1705"/>
        <v>0</v>
      </c>
      <c r="CT382" s="182"/>
      <c r="CU382" s="182">
        <f t="shared" si="1706"/>
        <v>0</v>
      </c>
      <c r="CV382" s="182">
        <v>11</v>
      </c>
      <c r="CW382" s="182">
        <v>595084.82000000007</v>
      </c>
      <c r="CX382" s="182">
        <v>5</v>
      </c>
      <c r="CY382" s="182">
        <f t="shared" si="1707"/>
        <v>270493.10399999999</v>
      </c>
      <c r="CZ382" s="182"/>
      <c r="DA382" s="182">
        <v>0</v>
      </c>
      <c r="DB382" s="188"/>
      <c r="DC382" s="182">
        <f t="shared" si="1708"/>
        <v>0</v>
      </c>
      <c r="DD382" s="182"/>
      <c r="DE382" s="187">
        <f t="shared" si="1709"/>
        <v>0</v>
      </c>
      <c r="DF382" s="182"/>
      <c r="DG382" s="182"/>
      <c r="DH382" s="189"/>
      <c r="DI382" s="182">
        <f t="shared" si="1710"/>
        <v>0</v>
      </c>
      <c r="DJ382" s="182">
        <v>2</v>
      </c>
      <c r="DK382" s="182">
        <f t="shared" si="1711"/>
        <v>108197.24159999999</v>
      </c>
      <c r="DL382" s="182"/>
      <c r="DM382" s="182">
        <f t="shared" si="1712"/>
        <v>0</v>
      </c>
      <c r="DN382" s="182"/>
      <c r="DO382" s="187">
        <f t="shared" si="1713"/>
        <v>0</v>
      </c>
      <c r="DP382" s="187"/>
      <c r="DQ382" s="187"/>
      <c r="DR382" s="183">
        <f t="shared" si="1656"/>
        <v>179</v>
      </c>
      <c r="DS382" s="183">
        <f t="shared" si="1656"/>
        <v>8655779.3183999993</v>
      </c>
      <c r="DT382" s="182">
        <v>183</v>
      </c>
      <c r="DU382" s="182">
        <v>8845124.4919999987</v>
      </c>
      <c r="DV382" s="167">
        <f t="shared" si="1450"/>
        <v>-4</v>
      </c>
      <c r="DW382" s="167">
        <f t="shared" si="1450"/>
        <v>-189345.1735999994</v>
      </c>
    </row>
    <row r="383" spans="1:127" ht="30" x14ac:dyDescent="0.25">
      <c r="A383" s="154"/>
      <c r="B383" s="176">
        <v>336</v>
      </c>
      <c r="C383" s="177" t="s">
        <v>838</v>
      </c>
      <c r="D383" s="210" t="s">
        <v>839</v>
      </c>
      <c r="E383" s="158">
        <v>25969</v>
      </c>
      <c r="F383" s="179">
        <v>1.78</v>
      </c>
      <c r="G383" s="168">
        <v>1</v>
      </c>
      <c r="H383" s="169"/>
      <c r="I383" s="169"/>
      <c r="J383" s="169"/>
      <c r="K383" s="106"/>
      <c r="L383" s="180">
        <v>1.4</v>
      </c>
      <c r="M383" s="180">
        <v>1.68</v>
      </c>
      <c r="N383" s="180">
        <v>2.23</v>
      </c>
      <c r="O383" s="181">
        <v>2.57</v>
      </c>
      <c r="P383" s="244">
        <v>113</v>
      </c>
      <c r="Q383" s="182">
        <f t="shared" si="1674"/>
        <v>7312766.5240000002</v>
      </c>
      <c r="R383" s="182">
        <v>125</v>
      </c>
      <c r="S383" s="187">
        <f t="shared" si="1675"/>
        <v>8089343.4999999991</v>
      </c>
      <c r="T383" s="182"/>
      <c r="U383" s="182">
        <f t="shared" si="1676"/>
        <v>0</v>
      </c>
      <c r="V383" s="182"/>
      <c r="W383" s="182">
        <f t="shared" si="1677"/>
        <v>0</v>
      </c>
      <c r="X383" s="182"/>
      <c r="Y383" s="182">
        <v>0</v>
      </c>
      <c r="Z383" s="182">
        <v>0</v>
      </c>
      <c r="AA383" s="182">
        <v>0</v>
      </c>
      <c r="AB383" s="182">
        <f t="shared" si="1661"/>
        <v>0</v>
      </c>
      <c r="AC383" s="182">
        <f t="shared" si="1661"/>
        <v>0</v>
      </c>
      <c r="AD383" s="182"/>
      <c r="AE383" s="182">
        <f t="shared" si="1678"/>
        <v>0</v>
      </c>
      <c r="AF383" s="182"/>
      <c r="AG383" s="182"/>
      <c r="AH383" s="182">
        <v>30</v>
      </c>
      <c r="AI383" s="182">
        <f t="shared" si="1679"/>
        <v>1941442.44</v>
      </c>
      <c r="AJ383" s="182"/>
      <c r="AK383" s="182"/>
      <c r="AL383" s="182"/>
      <c r="AM383" s="182"/>
      <c r="AN383" s="184"/>
      <c r="AO383" s="182">
        <f t="shared" si="1680"/>
        <v>0</v>
      </c>
      <c r="AP383" s="182">
        <v>145</v>
      </c>
      <c r="AQ383" s="182">
        <f t="shared" si="1681"/>
        <v>9383638.459999999</v>
      </c>
      <c r="AR383" s="182">
        <v>154</v>
      </c>
      <c r="AS383" s="182">
        <f t="shared" si="1682"/>
        <v>9966071.1919999998</v>
      </c>
      <c r="AT383" s="182">
        <v>12</v>
      </c>
      <c r="AU383" s="183">
        <f t="shared" si="1683"/>
        <v>931892.37119999994</v>
      </c>
      <c r="AV383" s="186">
        <v>1</v>
      </c>
      <c r="AW383" s="182">
        <v>77657.7</v>
      </c>
      <c r="AX383" s="182">
        <v>17</v>
      </c>
      <c r="AY383" s="187">
        <f t="shared" si="1684"/>
        <v>1320180.8592000001</v>
      </c>
      <c r="AZ383" s="182"/>
      <c r="BA383" s="182">
        <f t="shared" si="1685"/>
        <v>0</v>
      </c>
      <c r="BB383" s="182">
        <v>0</v>
      </c>
      <c r="BC383" s="182">
        <f t="shared" si="1686"/>
        <v>0</v>
      </c>
      <c r="BD383" s="182"/>
      <c r="BE383" s="182">
        <f t="shared" si="1687"/>
        <v>0</v>
      </c>
      <c r="BF383" s="182"/>
      <c r="BG383" s="182">
        <f t="shared" si="1688"/>
        <v>0</v>
      </c>
      <c r="BH383" s="182"/>
      <c r="BI383" s="182">
        <f t="shared" si="1689"/>
        <v>0</v>
      </c>
      <c r="BJ383" s="182"/>
      <c r="BK383" s="182"/>
      <c r="BL383" s="182">
        <v>9</v>
      </c>
      <c r="BM383" s="182">
        <f t="shared" si="1690"/>
        <v>582432.73199999996</v>
      </c>
      <c r="BN383" s="182">
        <v>10</v>
      </c>
      <c r="BO383" s="182">
        <f t="shared" si="1691"/>
        <v>776576.97600000002</v>
      </c>
      <c r="BP383" s="182"/>
      <c r="BQ383" s="182">
        <f t="shared" si="1692"/>
        <v>0</v>
      </c>
      <c r="BR383" s="182"/>
      <c r="BS383" s="182">
        <f t="shared" si="1693"/>
        <v>0</v>
      </c>
      <c r="BT383" s="182">
        <v>10</v>
      </c>
      <c r="BU383" s="182">
        <f t="shared" si="1694"/>
        <v>776576.97600000002</v>
      </c>
      <c r="BV383" s="182"/>
      <c r="BW383" s="182">
        <f t="shared" si="1695"/>
        <v>0</v>
      </c>
      <c r="BX383" s="182"/>
      <c r="BY383" s="182">
        <f t="shared" si="1696"/>
        <v>0</v>
      </c>
      <c r="BZ383" s="182"/>
      <c r="CA383" s="187">
        <f t="shared" si="1697"/>
        <v>0</v>
      </c>
      <c r="CB383" s="182"/>
      <c r="CC383" s="182">
        <f t="shared" si="1698"/>
        <v>0</v>
      </c>
      <c r="CD383" s="182"/>
      <c r="CE383" s="183">
        <f t="shared" si="1699"/>
        <v>0</v>
      </c>
      <c r="CF383" s="182">
        <v>80</v>
      </c>
      <c r="CG383" s="182">
        <f t="shared" si="1700"/>
        <v>5177179.84</v>
      </c>
      <c r="CH383" s="182">
        <v>2</v>
      </c>
      <c r="CI383" s="182">
        <f t="shared" si="1701"/>
        <v>155315.3952</v>
      </c>
      <c r="CJ383" s="182"/>
      <c r="CK383" s="182"/>
      <c r="CL383" s="182"/>
      <c r="CM383" s="182">
        <f t="shared" si="1702"/>
        <v>0</v>
      </c>
      <c r="CN383" s="182"/>
      <c r="CO383" s="182">
        <f t="shared" si="1703"/>
        <v>0</v>
      </c>
      <c r="CP383" s="182"/>
      <c r="CQ383" s="182">
        <f t="shared" si="1704"/>
        <v>0</v>
      </c>
      <c r="CR383" s="182">
        <v>32</v>
      </c>
      <c r="CS383" s="182">
        <f t="shared" si="1705"/>
        <v>2070871.9359999998</v>
      </c>
      <c r="CT383" s="182"/>
      <c r="CU383" s="182">
        <f t="shared" si="1706"/>
        <v>0</v>
      </c>
      <c r="CV383" s="182">
        <v>44</v>
      </c>
      <c r="CW383" s="182">
        <v>3416938.8000000021</v>
      </c>
      <c r="CX383" s="182"/>
      <c r="CY383" s="182">
        <f t="shared" si="1707"/>
        <v>0</v>
      </c>
      <c r="CZ383" s="182"/>
      <c r="DA383" s="182">
        <v>0</v>
      </c>
      <c r="DB383" s="188"/>
      <c r="DC383" s="182">
        <f t="shared" si="1708"/>
        <v>0</v>
      </c>
      <c r="DD383" s="182"/>
      <c r="DE383" s="187">
        <f t="shared" si="1709"/>
        <v>0</v>
      </c>
      <c r="DF383" s="182"/>
      <c r="DG383" s="182"/>
      <c r="DH383" s="189"/>
      <c r="DI383" s="182">
        <f t="shared" si="1710"/>
        <v>0</v>
      </c>
      <c r="DJ383" s="182"/>
      <c r="DK383" s="182">
        <f t="shared" si="1711"/>
        <v>0</v>
      </c>
      <c r="DL383" s="182"/>
      <c r="DM383" s="182">
        <f t="shared" si="1712"/>
        <v>0</v>
      </c>
      <c r="DN383" s="182"/>
      <c r="DO383" s="187">
        <f t="shared" si="1713"/>
        <v>0</v>
      </c>
      <c r="DP383" s="187"/>
      <c r="DQ383" s="187"/>
      <c r="DR383" s="183">
        <f t="shared" si="1656"/>
        <v>784</v>
      </c>
      <c r="DS383" s="183">
        <f t="shared" si="1656"/>
        <v>51978885.701600015</v>
      </c>
      <c r="DT383" s="182">
        <v>812</v>
      </c>
      <c r="DU383" s="182">
        <v>53829727.492000014</v>
      </c>
      <c r="DV383" s="167">
        <f t="shared" si="1450"/>
        <v>-28</v>
      </c>
      <c r="DW383" s="167">
        <f t="shared" si="1450"/>
        <v>-1850841.7903999984</v>
      </c>
    </row>
    <row r="384" spans="1:127" ht="30" x14ac:dyDescent="0.25">
      <c r="A384" s="154"/>
      <c r="B384" s="176">
        <v>337</v>
      </c>
      <c r="C384" s="177" t="s">
        <v>840</v>
      </c>
      <c r="D384" s="210" t="s">
        <v>841</v>
      </c>
      <c r="E384" s="158">
        <v>25969</v>
      </c>
      <c r="F384" s="179">
        <v>5.6</v>
      </c>
      <c r="G384" s="168">
        <v>1</v>
      </c>
      <c r="H384" s="169"/>
      <c r="I384" s="169"/>
      <c r="J384" s="169"/>
      <c r="K384" s="106"/>
      <c r="L384" s="180">
        <v>1.4</v>
      </c>
      <c r="M384" s="180">
        <v>1.68</v>
      </c>
      <c r="N384" s="180">
        <v>2.23</v>
      </c>
      <c r="O384" s="181">
        <v>2.57</v>
      </c>
      <c r="P384" s="244">
        <v>1</v>
      </c>
      <c r="Q384" s="182">
        <f>(P384*$E384*$F384*$G384*$L384*$Q$12)</f>
        <v>223956.65600000002</v>
      </c>
      <c r="R384" s="182">
        <v>2</v>
      </c>
      <c r="S384" s="182">
        <f>(R384*$E384*$F384*$G384*$L384*$S$12)</f>
        <v>447913.31200000003</v>
      </c>
      <c r="T384" s="182"/>
      <c r="U384" s="182">
        <f t="shared" ref="U384:U387" si="1714">(T384/12*11*$E384*$F384*$G384*$L384*$U$12)+(T384/12*1*$E384*$F384*$G384*$L384*$U$14)</f>
        <v>0</v>
      </c>
      <c r="V384" s="182"/>
      <c r="W384" s="183">
        <f t="shared" ref="W384:W387" si="1715">(V384*$E384*$F384*$G384*$L384*$W$12)/12*10+(V384*$E384*$F384*$G384*$L384*$W$13)/12*1++(V384*$E384*$F384*$G384*$L384*$W$14)/12*1</f>
        <v>0</v>
      </c>
      <c r="X384" s="183"/>
      <c r="Y384" s="183">
        <v>0</v>
      </c>
      <c r="Z384" s="183"/>
      <c r="AA384" s="183">
        <v>0</v>
      </c>
      <c r="AB384" s="182">
        <f t="shared" si="1661"/>
        <v>0</v>
      </c>
      <c r="AC384" s="182">
        <f t="shared" si="1661"/>
        <v>0</v>
      </c>
      <c r="AD384" s="182"/>
      <c r="AE384" s="182">
        <f>(AD384*$E384*$F384*$G384*$L384*$AE$12)</f>
        <v>0</v>
      </c>
      <c r="AF384" s="182"/>
      <c r="AG384" s="182"/>
      <c r="AH384" s="182">
        <v>5</v>
      </c>
      <c r="AI384" s="182">
        <f>(AH384*$E384*$F384*$G384*$L384*$AI$12)</f>
        <v>1119783.28</v>
      </c>
      <c r="AJ384" s="182"/>
      <c r="AK384" s="182"/>
      <c r="AL384" s="182"/>
      <c r="AM384" s="182"/>
      <c r="AN384" s="184"/>
      <c r="AO384" s="182">
        <f>(AN384*$E384*$F384*$G384*$L384*$AO$12)</f>
        <v>0</v>
      </c>
      <c r="AP384" s="182"/>
      <c r="AQ384" s="183">
        <f>(AP384*$E384*$F384*$G384*$L384*$AQ$12)</f>
        <v>0</v>
      </c>
      <c r="AR384" s="182"/>
      <c r="AS384" s="182">
        <f t="shared" ref="AS384:AS390" si="1716">(AR384*$E384*$F384*$G384*$L384*$AS$12)/12*10+(AR384*$E384*$F384*$G384*$L384*$AS$13)/12*1+(AR384*$E384*$F384*$L384*$G384*$AS$14*$AS$15)/12*1</f>
        <v>0</v>
      </c>
      <c r="AT384" s="182"/>
      <c r="AU384" s="182">
        <f t="shared" ref="AU384" si="1717">(AT384*$E384*$F384*$G384*$M384*$AU$12)/12*10+(AT384*$E384*$F384*$G384*$M384*$AU$13)/12*2</f>
        <v>0</v>
      </c>
      <c r="AV384" s="188">
        <v>0</v>
      </c>
      <c r="AW384" s="182">
        <v>0</v>
      </c>
      <c r="AX384" s="182"/>
      <c r="AY384" s="187">
        <f>(AX384*$E384*$F384*$G384*$M384*$AY$12)</f>
        <v>0</v>
      </c>
      <c r="AZ384" s="182"/>
      <c r="BA384" s="182">
        <f>(AZ384*$E384*$F384*$G384*$L384*$BA$12)</f>
        <v>0</v>
      </c>
      <c r="BB384" s="182"/>
      <c r="BC384" s="182">
        <f>(BB384*$E384*$F384*$G384*$L384*$BC$12)</f>
        <v>0</v>
      </c>
      <c r="BD384" s="182"/>
      <c r="BE384" s="182">
        <f>(BD384*$E384*$F384*$G384*$L384*$BE$12)</f>
        <v>0</v>
      </c>
      <c r="BF384" s="182"/>
      <c r="BG384" s="182">
        <f>(BF384*$E384*$F384*$G384*$L384*$BG$12)</f>
        <v>0</v>
      </c>
      <c r="BH384" s="182"/>
      <c r="BI384" s="183">
        <f>(BH384*$E384*$F384*$G384*$L384*$BI$12)</f>
        <v>0</v>
      </c>
      <c r="BJ384" s="182"/>
      <c r="BK384" s="183">
        <f>(BJ384*$E384*$F384*$G384*$L384*$BK$12)</f>
        <v>0</v>
      </c>
      <c r="BL384" s="182"/>
      <c r="BM384" s="182">
        <f>(BL384*$E384*$F384*$G384*$L384*$BM$12)</f>
        <v>0</v>
      </c>
      <c r="BN384" s="182"/>
      <c r="BO384" s="182">
        <f>(BN384*$E384*$F384*$G384*$M384*$BO$12)</f>
        <v>0</v>
      </c>
      <c r="BP384" s="182"/>
      <c r="BQ384" s="182">
        <f>(BP384*$E384*$F384*$G384*$M384*$BQ$12)</f>
        <v>0</v>
      </c>
      <c r="BR384" s="182"/>
      <c r="BS384" s="183">
        <f>(BR384*$E384*$F384*$G384*$M384*$BS$12)</f>
        <v>0</v>
      </c>
      <c r="BT384" s="182"/>
      <c r="BU384" s="182">
        <f t="shared" ref="BU384" si="1718">(BT384*$E384*$F384*$G384*$M384*$BU$12)/12*10+(BT384*$E384*$F384*$G384*$M384*$BU$13)/12*2</f>
        <v>0</v>
      </c>
      <c r="BV384" s="182"/>
      <c r="BW384" s="182">
        <f>(BV384*$E384*$F384*$G384*$M384*$BW$12)</f>
        <v>0</v>
      </c>
      <c r="BX384" s="182"/>
      <c r="BY384" s="183">
        <f>(BX384*$E384*$F384*$G384*$M384*$BY$12)</f>
        <v>0</v>
      </c>
      <c r="BZ384" s="182"/>
      <c r="CA384" s="187">
        <f>(BZ384*$E384*$F384*$G384*$M384*$CA$12)</f>
        <v>0</v>
      </c>
      <c r="CB384" s="182"/>
      <c r="CC384" s="182">
        <f>(CB384*$E384*$F384*$G384*$L384*$CC$12)</f>
        <v>0</v>
      </c>
      <c r="CD384" s="182"/>
      <c r="CE384" s="182">
        <f>(CD384*$E384*$F384*$G384*$L384*$CE$12)</f>
        <v>0</v>
      </c>
      <c r="CF384" s="182"/>
      <c r="CG384" s="182">
        <f>(CF384*$E384*$F384*$G384*$L384*$CG$12)</f>
        <v>0</v>
      </c>
      <c r="CH384" s="182"/>
      <c r="CI384" s="182">
        <f>(CH384*$E384*$F384*$G384*$M384*$CI$12)</f>
        <v>0</v>
      </c>
      <c r="CJ384" s="182"/>
      <c r="CK384" s="182"/>
      <c r="CL384" s="182"/>
      <c r="CM384" s="183">
        <f>(CL384*$E384*$F384*$G384*$L384*$CM$12)</f>
        <v>0</v>
      </c>
      <c r="CN384" s="182"/>
      <c r="CO384" s="183">
        <f>(CN384*$E384*$F384*$G384*$L384*$CO$12)</f>
        <v>0</v>
      </c>
      <c r="CP384" s="182"/>
      <c r="CQ384" s="182">
        <f>(CP384*$E384*$F384*$G384*$L384*$CQ$12)</f>
        <v>0</v>
      </c>
      <c r="CR384" s="182"/>
      <c r="CS384" s="182">
        <f>(CR384*$E384*$F384*$G384*$L384*$CS$12)</f>
        <v>0</v>
      </c>
      <c r="CT384" s="182"/>
      <c r="CU384" s="182">
        <f>(CT384*$E384*$F384*$G384*$L384*$CU$12)</f>
        <v>0</v>
      </c>
      <c r="CV384" s="182"/>
      <c r="CW384" s="182">
        <v>0</v>
      </c>
      <c r="CX384" s="182"/>
      <c r="CY384" s="182">
        <f>(CX384*$E384*$F384*$G384*$M384*$CY$12)</f>
        <v>0</v>
      </c>
      <c r="CZ384" s="182"/>
      <c r="DA384" s="182">
        <v>0</v>
      </c>
      <c r="DB384" s="188"/>
      <c r="DC384" s="182">
        <f>(DB384*$E384*$F384*$G384*$M384*$DC$12)</f>
        <v>0</v>
      </c>
      <c r="DD384" s="182"/>
      <c r="DE384" s="187"/>
      <c r="DF384" s="182"/>
      <c r="DG384" s="182">
        <f>(DF384*$E384*$F384*$G384*$M384*$DG$12)</f>
        <v>0</v>
      </c>
      <c r="DH384" s="189"/>
      <c r="DI384" s="182">
        <f>(DH384*$E384*$F384*$G384*$M384*$DI$12)</f>
        <v>0</v>
      </c>
      <c r="DJ384" s="182"/>
      <c r="DK384" s="182">
        <f>(DJ384*$E384*$F384*$G384*$M384*$DK$12)</f>
        <v>0</v>
      </c>
      <c r="DL384" s="182"/>
      <c r="DM384" s="182">
        <f>(DL384*$E384*$F384*$G384*$N384*$DM$12)</f>
        <v>0</v>
      </c>
      <c r="DN384" s="182"/>
      <c r="DO384" s="190">
        <f>(DN384*$E384*$F384*$G384*$O384*$DO$12)</f>
        <v>0</v>
      </c>
      <c r="DP384" s="187"/>
      <c r="DQ384" s="187"/>
      <c r="DR384" s="183">
        <f t="shared" si="1656"/>
        <v>8</v>
      </c>
      <c r="DS384" s="183">
        <f t="shared" si="1656"/>
        <v>1791653.2480000001</v>
      </c>
      <c r="DT384" s="182">
        <v>8</v>
      </c>
      <c r="DU384" s="182">
        <v>1791653.2480000001</v>
      </c>
      <c r="DV384" s="167">
        <f t="shared" si="1450"/>
        <v>0</v>
      </c>
      <c r="DW384" s="167">
        <f t="shared" si="1450"/>
        <v>0</v>
      </c>
    </row>
    <row r="385" spans="1:127" ht="30" x14ac:dyDescent="0.25">
      <c r="A385" s="154"/>
      <c r="B385" s="176">
        <v>338</v>
      </c>
      <c r="C385" s="177" t="s">
        <v>842</v>
      </c>
      <c r="D385" s="210" t="s">
        <v>843</v>
      </c>
      <c r="E385" s="158">
        <v>25969</v>
      </c>
      <c r="F385" s="179">
        <v>1.1299999999999999</v>
      </c>
      <c r="G385" s="168">
        <v>1</v>
      </c>
      <c r="H385" s="169"/>
      <c r="I385" s="169"/>
      <c r="J385" s="169"/>
      <c r="K385" s="106"/>
      <c r="L385" s="180">
        <v>1.4</v>
      </c>
      <c r="M385" s="180">
        <v>1.68</v>
      </c>
      <c r="N385" s="180">
        <v>2.23</v>
      </c>
      <c r="O385" s="181">
        <v>2.57</v>
      </c>
      <c r="P385" s="244">
        <v>100</v>
      </c>
      <c r="Q385" s="182">
        <f>(P385*$E385*$F385*$G385*$L385*$Q$12)</f>
        <v>4519125.379999999</v>
      </c>
      <c r="R385" s="182">
        <v>52</v>
      </c>
      <c r="S385" s="182">
        <f>(R385*$E385*$F385*$G385*$L385*$S$12)</f>
        <v>2349945.1975999996</v>
      </c>
      <c r="T385" s="182">
        <v>72</v>
      </c>
      <c r="U385" s="182">
        <f t="shared" si="1714"/>
        <v>3734440.8821999994</v>
      </c>
      <c r="V385" s="182"/>
      <c r="W385" s="183">
        <f t="shared" si="1715"/>
        <v>0</v>
      </c>
      <c r="X385" s="183">
        <v>89</v>
      </c>
      <c r="Y385" s="183">
        <v>5118936.5667999983</v>
      </c>
      <c r="Z385" s="183">
        <v>3</v>
      </c>
      <c r="AA385" s="183">
        <v>207058.10831999994</v>
      </c>
      <c r="AB385" s="182">
        <f t="shared" si="1661"/>
        <v>92</v>
      </c>
      <c r="AC385" s="182">
        <f t="shared" si="1661"/>
        <v>5325994.6751199979</v>
      </c>
      <c r="AD385" s="182"/>
      <c r="AE385" s="182">
        <f>(AD385*$E385*$F385*$G385*$L385*$AE$12)</f>
        <v>0</v>
      </c>
      <c r="AF385" s="182"/>
      <c r="AG385" s="182"/>
      <c r="AH385" s="182">
        <v>30</v>
      </c>
      <c r="AI385" s="182">
        <f>(AH385*$E385*$F385*$G385*$L385*$AI$12)</f>
        <v>1355737.6139999998</v>
      </c>
      <c r="AJ385" s="182"/>
      <c r="AK385" s="182"/>
      <c r="AL385" s="182"/>
      <c r="AM385" s="182"/>
      <c r="AN385" s="184"/>
      <c r="AO385" s="182">
        <f>(AN385*$E385*$F385*$G385*$L385*$AO$12)</f>
        <v>0</v>
      </c>
      <c r="AP385" s="182">
        <v>48</v>
      </c>
      <c r="AQ385" s="183">
        <f>(AP385*$E385*$F385*$G385*$L385*$AQ$12)</f>
        <v>2169180.1823999998</v>
      </c>
      <c r="AR385" s="182">
        <v>43</v>
      </c>
      <c r="AS385" s="182">
        <f t="shared" si="1716"/>
        <v>2097769.1000884334</v>
      </c>
      <c r="AT385" s="182">
        <f>20+4</f>
        <v>24</v>
      </c>
      <c r="AU385" s="182">
        <f t="shared" ref="AU385:AU387" si="1719">(AT385*$E385*$F385*$G385*$M385*$AU$12)/12*10+(AT385*$E385*$F385*$G385*$M385*$AU$13)/12+(AT385*$E385*$F385*$G385*$M385*$AU$14*$AU$15)/12</f>
        <v>1363506.6314223646</v>
      </c>
      <c r="AV385" s="188">
        <v>37</v>
      </c>
      <c r="AW385" s="182">
        <v>2539912.8100000019</v>
      </c>
      <c r="AX385" s="182">
        <v>2</v>
      </c>
      <c r="AY385" s="187">
        <f>(AX385*$E385*$F385*$G385*$M385*$AY$12)</f>
        <v>108459.00911999999</v>
      </c>
      <c r="AZ385" s="182"/>
      <c r="BA385" s="182">
        <f>(AZ385*$E385*$F385*$G385*$L385*$BA$12)</f>
        <v>0</v>
      </c>
      <c r="BB385" s="182"/>
      <c r="BC385" s="182">
        <f>(BB385*$E385*$F385*$G385*$L385*$BC$12)</f>
        <v>0</v>
      </c>
      <c r="BD385" s="182"/>
      <c r="BE385" s="182">
        <f>(BD385*$E385*$F385*$G385*$L385*$BE$12)</f>
        <v>0</v>
      </c>
      <c r="BF385" s="182"/>
      <c r="BG385" s="182">
        <f>(BF385*$E385*$F385*$G385*$L385*$BG$12)</f>
        <v>0</v>
      </c>
      <c r="BH385" s="182"/>
      <c r="BI385" s="183">
        <f>(BH385*$E385*$F385*$G385*$L385*$BI$12)</f>
        <v>0</v>
      </c>
      <c r="BJ385" s="182"/>
      <c r="BK385" s="183">
        <f>(BJ385*$E385*$F385*$G385*$L385*$BK$12)</f>
        <v>0</v>
      </c>
      <c r="BL385" s="182">
        <v>10</v>
      </c>
      <c r="BM385" s="182">
        <f t="shared" ref="BM385" si="1720">(BL385/12*11*$E385*$F385*$G385*$L385*$BM$12)+(BL385/12*$E385*$F385*$G385*$L385*$BM$12*$BM$15)</f>
        <v>573467.97247123998</v>
      </c>
      <c r="BN385" s="182">
        <v>23</v>
      </c>
      <c r="BO385" s="182">
        <f>(BN385*$E385*$F385*$G385*$M385*$BO$12)</f>
        <v>1247278.60488</v>
      </c>
      <c r="BP385" s="182"/>
      <c r="BQ385" s="182">
        <f>(BP385*$E385*$F385*$G385*$M385*$BQ$12)</f>
        <v>0</v>
      </c>
      <c r="BR385" s="182"/>
      <c r="BS385" s="183">
        <f>(BR385*$E385*$F385*$G385*$M385*$BS$12)</f>
        <v>0</v>
      </c>
      <c r="BT385" s="182">
        <v>8</v>
      </c>
      <c r="BU385" s="182">
        <f t="shared" ref="BU385" si="1721">(BT385*$E385*$F385*$G385*$M385*$BU$12)/12*10+(BT385*$E385*$F385*$G385*$M385*$BU$13)/12+(BT385*$E385*$F385*$G385*$M385*$BU$13*$BU$15)/12</f>
        <v>439358.11189706228</v>
      </c>
      <c r="BV385" s="182"/>
      <c r="BW385" s="182">
        <f>(BV385*$E385*$F385*$G385*$M385*$BW$12)</f>
        <v>0</v>
      </c>
      <c r="BX385" s="182"/>
      <c r="BY385" s="183">
        <f>(BX385*$E385*$F385*$G385*$M385*$BY$12)</f>
        <v>0</v>
      </c>
      <c r="BZ385" s="182">
        <v>7</v>
      </c>
      <c r="CA385" s="187">
        <f t="shared" ref="CA385:CA386" si="1722">(BZ385*$E385*$F385*$G385*$M385*$CA$12)/12*11+(BZ385*$E385*$F385*$G385*$M385*$CA$12*$CA$15)/12</f>
        <v>451015.69702685997</v>
      </c>
      <c r="CB385" s="182"/>
      <c r="CC385" s="182">
        <f>(CB385*$E385*$F385*$G385*$L385*$CC$12)</f>
        <v>0</v>
      </c>
      <c r="CD385" s="182"/>
      <c r="CE385" s="182">
        <f>(CD385*$E385*$F385*$G385*$L385*$CE$12)</f>
        <v>0</v>
      </c>
      <c r="CF385" s="182"/>
      <c r="CG385" s="182">
        <f>(CF385*$E385*$F385*$G385*$L385*$CG$12)</f>
        <v>0</v>
      </c>
      <c r="CH385" s="182">
        <v>7</v>
      </c>
      <c r="CI385" s="182">
        <f t="shared" ref="CI385:CI387" si="1723">(CH385*$E385*$F385*$G385*$M385*$CI$12)/12*11+(CH385*$E385*$F385*$G385*$M385*$CI$12*$CI$15)/12</f>
        <v>384588.00490933191</v>
      </c>
      <c r="CJ385" s="182"/>
      <c r="CK385" s="182"/>
      <c r="CL385" s="182"/>
      <c r="CM385" s="183">
        <f>(CL385*$E385*$F385*$G385*$L385*$CM$12)</f>
        <v>0</v>
      </c>
      <c r="CN385" s="182"/>
      <c r="CO385" s="183">
        <f>(CN385*$E385*$F385*$G385*$L385*$CO$12)</f>
        <v>0</v>
      </c>
      <c r="CP385" s="182"/>
      <c r="CQ385" s="182">
        <f>(CP385*$E385*$F385*$G385*$L385*$CQ$12)</f>
        <v>0</v>
      </c>
      <c r="CR385" s="182">
        <v>3</v>
      </c>
      <c r="CS385" s="182">
        <f t="shared" ref="CS385" si="1724">(CR385*$E385*$F385*$G385*$L385*$CS$12)/12*10+(CR385*$E385*$F385*$G385*$L385*$CS$13)/12+(CR385*$E385*$F385*$G385*$L385*$CS$13*$CS$15)/12</f>
        <v>147759.17215758996</v>
      </c>
      <c r="CT385" s="182"/>
      <c r="CU385" s="182">
        <f>(CT385*$E385*$F385*$G385*$L385*$CU$12)</f>
        <v>0</v>
      </c>
      <c r="CV385" s="182">
        <v>3</v>
      </c>
      <c r="CW385" s="182">
        <v>140503.72000000003</v>
      </c>
      <c r="CX385" s="182">
        <v>25</v>
      </c>
      <c r="CY385" s="182">
        <f t="shared" ref="CY385:CY386" si="1725">(CX385/12*11*$E385*$F385*$G385*$M385*$CY$12)+(CX385/12*$E385*$F385*$G385*$M385*$CY$15*$CY$12)</f>
        <v>1330089.5233205999</v>
      </c>
      <c r="CZ385" s="182"/>
      <c r="DA385" s="182">
        <v>0</v>
      </c>
      <c r="DB385" s="188"/>
      <c r="DC385" s="182">
        <f>(DB385*$E385*$F385*$G385*$M385*$DC$12)</f>
        <v>0</v>
      </c>
      <c r="DD385" s="182"/>
      <c r="DE385" s="187"/>
      <c r="DF385" s="182"/>
      <c r="DG385" s="182">
        <f>(DF385*$E385*$F385*$G385*$M385*$DG$12)</f>
        <v>0</v>
      </c>
      <c r="DH385" s="189"/>
      <c r="DI385" s="182">
        <f>(DH385*$E385*$F385*$G385*$M385*$DI$12)</f>
        <v>0</v>
      </c>
      <c r="DJ385" s="182">
        <v>1</v>
      </c>
      <c r="DK385" s="182">
        <f t="shared" ref="DK385:DK386" si="1726">(DJ385/12*11*$E385*$F385*$G385*$M385*$DK$12)+(DJ385/12*1*$E385*$F385*$M385*$G385*$DK$12*$DK$15)</f>
        <v>53721.308369539991</v>
      </c>
      <c r="DL385" s="182"/>
      <c r="DM385" s="182">
        <f>(DL385*$E385*$F385*$G385*$N385*$DM$12)</f>
        <v>0</v>
      </c>
      <c r="DN385" s="182"/>
      <c r="DO385" s="190">
        <f>(DN385*$E385*$F385*$G385*$O385*$DO$12)</f>
        <v>0</v>
      </c>
      <c r="DP385" s="187"/>
      <c r="DQ385" s="187"/>
      <c r="DR385" s="183">
        <f t="shared" si="1656"/>
        <v>587</v>
      </c>
      <c r="DS385" s="183">
        <f t="shared" si="1656"/>
        <v>30331853.596983016</v>
      </c>
      <c r="DT385" s="182">
        <v>571</v>
      </c>
      <c r="DU385" s="182">
        <v>28922881.73681666</v>
      </c>
      <c r="DV385" s="167">
        <f t="shared" si="1450"/>
        <v>16</v>
      </c>
      <c r="DW385" s="167">
        <f t="shared" si="1450"/>
        <v>1408971.860166356</v>
      </c>
    </row>
    <row r="386" spans="1:127" ht="30" x14ac:dyDescent="0.25">
      <c r="A386" s="154"/>
      <c r="B386" s="176">
        <v>339</v>
      </c>
      <c r="C386" s="177" t="s">
        <v>844</v>
      </c>
      <c r="D386" s="210" t="s">
        <v>845</v>
      </c>
      <c r="E386" s="158">
        <v>25969</v>
      </c>
      <c r="F386" s="179">
        <v>1.19</v>
      </c>
      <c r="G386" s="168">
        <v>1</v>
      </c>
      <c r="H386" s="169"/>
      <c r="I386" s="169"/>
      <c r="J386" s="169"/>
      <c r="K386" s="106"/>
      <c r="L386" s="180">
        <v>1.4</v>
      </c>
      <c r="M386" s="180">
        <v>1.68</v>
      </c>
      <c r="N386" s="180">
        <v>2.23</v>
      </c>
      <c r="O386" s="181">
        <v>2.57</v>
      </c>
      <c r="P386" s="244">
        <v>15</v>
      </c>
      <c r="Q386" s="182">
        <f>(P386*$E386*$F386*$G386*$L386*$Q$12)</f>
        <v>713861.84100000001</v>
      </c>
      <c r="R386" s="182">
        <v>22</v>
      </c>
      <c r="S386" s="182">
        <f>(R386*$E386*$F386*$G386*$L386*$S$12)</f>
        <v>1046997.3667999998</v>
      </c>
      <c r="T386" s="182">
        <v>134</v>
      </c>
      <c r="U386" s="182">
        <f t="shared" si="1714"/>
        <v>7319247.0879499977</v>
      </c>
      <c r="V386" s="182"/>
      <c r="W386" s="183">
        <f t="shared" si="1715"/>
        <v>0</v>
      </c>
      <c r="X386" s="183">
        <v>7</v>
      </c>
      <c r="Y386" s="183">
        <v>423990.66919999989</v>
      </c>
      <c r="Z386" s="183">
        <v>1</v>
      </c>
      <c r="AA386" s="183">
        <v>72684.114719999983</v>
      </c>
      <c r="AB386" s="182">
        <f t="shared" si="1661"/>
        <v>8</v>
      </c>
      <c r="AC386" s="182">
        <f t="shared" si="1661"/>
        <v>496674.78391999984</v>
      </c>
      <c r="AD386" s="182"/>
      <c r="AE386" s="182">
        <f>(AD386*$E386*$F386*$G386*$L386*$AE$12)</f>
        <v>0</v>
      </c>
      <c r="AF386" s="182"/>
      <c r="AG386" s="182"/>
      <c r="AH386" s="182">
        <v>3</v>
      </c>
      <c r="AI386" s="182">
        <f>(AH386*$E386*$F386*$G386*$L386*$AI$12)</f>
        <v>142772.3682</v>
      </c>
      <c r="AJ386" s="182"/>
      <c r="AK386" s="182"/>
      <c r="AL386" s="182"/>
      <c r="AM386" s="182"/>
      <c r="AN386" s="184"/>
      <c r="AO386" s="182">
        <f>(AN386*$E386*$F386*$G386*$L386*$AO$12)</f>
        <v>0</v>
      </c>
      <c r="AP386" s="182">
        <f>20+35</f>
        <v>55</v>
      </c>
      <c r="AQ386" s="183">
        <f>(AP386*$E386*$F386*$G386*$L386*$AQ$12)</f>
        <v>2617493.4169999999</v>
      </c>
      <c r="AR386" s="182">
        <v>100</v>
      </c>
      <c r="AS386" s="182">
        <f t="shared" si="1716"/>
        <v>5137569.9302433329</v>
      </c>
      <c r="AT386" s="182">
        <v>10</v>
      </c>
      <c r="AU386" s="182">
        <f t="shared" si="1719"/>
        <v>598293.83900907601</v>
      </c>
      <c r="AV386" s="188">
        <v>6</v>
      </c>
      <c r="AW386" s="182">
        <v>436104.66</v>
      </c>
      <c r="AX386" s="182"/>
      <c r="AY386" s="187">
        <f>(AX386*$E386*$F386*$G386*$M386*$AY$12)</f>
        <v>0</v>
      </c>
      <c r="AZ386" s="182"/>
      <c r="BA386" s="182">
        <f>(AZ386*$E386*$F386*$G386*$L386*$BA$12)</f>
        <v>0</v>
      </c>
      <c r="BB386" s="182"/>
      <c r="BC386" s="182">
        <f>(BB386*$E386*$F386*$G386*$L386*$BC$12)</f>
        <v>0</v>
      </c>
      <c r="BD386" s="182"/>
      <c r="BE386" s="182">
        <f>(BD386*$E386*$F386*$G386*$L386*$BE$12)</f>
        <v>0</v>
      </c>
      <c r="BF386" s="182"/>
      <c r="BG386" s="182">
        <f>(BF386*$E386*$F386*$G386*$L386*$BG$12)</f>
        <v>0</v>
      </c>
      <c r="BH386" s="182"/>
      <c r="BI386" s="183">
        <f>(BH386*$E386*$F386*$G386*$L386*$BI$12)</f>
        <v>0</v>
      </c>
      <c r="BJ386" s="182"/>
      <c r="BK386" s="183">
        <f>(BJ386*$E386*$F386*$G386*$L386*$BK$12)</f>
        <v>0</v>
      </c>
      <c r="BL386" s="182"/>
      <c r="BM386" s="182">
        <f>(BL386*$E386*$F386*$G386*$L386*$BM$12)</f>
        <v>0</v>
      </c>
      <c r="BN386" s="182">
        <v>6</v>
      </c>
      <c r="BO386" s="182">
        <f>(BN386*$E386*$F386*$G386*$M386*$BO$12)</f>
        <v>342653.68368000002</v>
      </c>
      <c r="BP386" s="182"/>
      <c r="BQ386" s="182">
        <f>(BP386*$E386*$F386*$G386*$M386*$BQ$12)</f>
        <v>0</v>
      </c>
      <c r="BR386" s="182"/>
      <c r="BS386" s="183">
        <f>(BR386*$E386*$F386*$G386*$M386*$BS$12)</f>
        <v>0</v>
      </c>
      <c r="BT386" s="182"/>
      <c r="BU386" s="182">
        <f>(BT386*$E386*$F386*$G386*$M386*$BU$12)</f>
        <v>0</v>
      </c>
      <c r="BV386" s="182"/>
      <c r="BW386" s="182">
        <f>(BV386*$E386*$F386*$G386*$M386*$BW$12)</f>
        <v>0</v>
      </c>
      <c r="BX386" s="182"/>
      <c r="BY386" s="183">
        <f>(BX386*$E386*$F386*$G386*$M386*$BY$12)</f>
        <v>0</v>
      </c>
      <c r="BZ386" s="182">
        <v>1</v>
      </c>
      <c r="CA386" s="187">
        <f t="shared" si="1722"/>
        <v>67851.919021739988</v>
      </c>
      <c r="CB386" s="182"/>
      <c r="CC386" s="182">
        <f>(CB386*$E386*$F386*$G386*$L386*$CC$12)</f>
        <v>0</v>
      </c>
      <c r="CD386" s="182"/>
      <c r="CE386" s="182">
        <f>(CD386*$E386*$F386*$G386*$L386*$CE$12)</f>
        <v>0</v>
      </c>
      <c r="CF386" s="182"/>
      <c r="CG386" s="182">
        <f>(CF386*$E386*$F386*$G386*$L386*$CG$12)</f>
        <v>0</v>
      </c>
      <c r="CH386" s="182">
        <v>5</v>
      </c>
      <c r="CI386" s="182">
        <f t="shared" si="1723"/>
        <v>289291.86209993996</v>
      </c>
      <c r="CJ386" s="182"/>
      <c r="CK386" s="182"/>
      <c r="CL386" s="182"/>
      <c r="CM386" s="183">
        <f>(CL386*$E386*$F386*$G386*$L386*$CM$12)</f>
        <v>0</v>
      </c>
      <c r="CN386" s="182"/>
      <c r="CO386" s="183">
        <f>(CN386*$E386*$F386*$G386*$L386*$CO$12)</f>
        <v>0</v>
      </c>
      <c r="CP386" s="182"/>
      <c r="CQ386" s="182">
        <f>(CP386*$E386*$F386*$G386*$L386*$CQ$12)</f>
        <v>0</v>
      </c>
      <c r="CR386" s="182"/>
      <c r="CS386" s="182">
        <f>(CR386*$E386*$F386*$G386*$L386*$CS$12)</f>
        <v>0</v>
      </c>
      <c r="CT386" s="182"/>
      <c r="CU386" s="182">
        <f>(CT386*$E386*$F386*$G386*$L386*$CU$12)</f>
        <v>0</v>
      </c>
      <c r="CV386" s="182">
        <v>6</v>
      </c>
      <c r="CW386" s="182">
        <v>311503.32</v>
      </c>
      <c r="CX386" s="182">
        <v>2</v>
      </c>
      <c r="CY386" s="182">
        <f t="shared" si="1725"/>
        <v>112057.09966382399</v>
      </c>
      <c r="CZ386" s="182"/>
      <c r="DA386" s="182">
        <v>0</v>
      </c>
      <c r="DB386" s="188"/>
      <c r="DC386" s="182">
        <f>(DB386*$E386*$F386*$G386*$M386*$DC$12)</f>
        <v>0</v>
      </c>
      <c r="DD386" s="182"/>
      <c r="DE386" s="187"/>
      <c r="DF386" s="182"/>
      <c r="DG386" s="182">
        <f>(DF386*$E386*$F386*$G386*$M386*$DG$12)</f>
        <v>0</v>
      </c>
      <c r="DH386" s="189"/>
      <c r="DI386" s="182">
        <f>(DH386*$E386*$F386*$G386*$M386*$DI$12)</f>
        <v>0</v>
      </c>
      <c r="DJ386" s="182">
        <v>2</v>
      </c>
      <c r="DK386" s="182">
        <f t="shared" si="1726"/>
        <v>113147.53444203999</v>
      </c>
      <c r="DL386" s="182"/>
      <c r="DM386" s="182">
        <f>(DL386*$E386*$F386*$G386*$N386*$DM$12)</f>
        <v>0</v>
      </c>
      <c r="DN386" s="182"/>
      <c r="DO386" s="190">
        <f>(DN386*$E386*$F386*$G386*$O386*$DO$12)</f>
        <v>0</v>
      </c>
      <c r="DP386" s="187"/>
      <c r="DQ386" s="187"/>
      <c r="DR386" s="183">
        <f t="shared" si="1656"/>
        <v>375</v>
      </c>
      <c r="DS386" s="183">
        <f t="shared" si="1656"/>
        <v>19745520.713029955</v>
      </c>
      <c r="DT386" s="182">
        <v>368</v>
      </c>
      <c r="DU386" s="182">
        <v>19099770.117066666</v>
      </c>
      <c r="DV386" s="167">
        <f t="shared" si="1450"/>
        <v>7</v>
      </c>
      <c r="DW386" s="167">
        <f t="shared" si="1450"/>
        <v>645750.5959632881</v>
      </c>
    </row>
    <row r="387" spans="1:127" ht="30" customHeight="1" x14ac:dyDescent="0.25">
      <c r="A387" s="154"/>
      <c r="B387" s="176">
        <v>340</v>
      </c>
      <c r="C387" s="177" t="s">
        <v>846</v>
      </c>
      <c r="D387" s="210" t="s">
        <v>847</v>
      </c>
      <c r="E387" s="158">
        <v>25969</v>
      </c>
      <c r="F387" s="179">
        <v>2.13</v>
      </c>
      <c r="G387" s="168">
        <v>1</v>
      </c>
      <c r="H387" s="169"/>
      <c r="I387" s="169"/>
      <c r="J387" s="169"/>
      <c r="K387" s="106"/>
      <c r="L387" s="180">
        <v>1.4</v>
      </c>
      <c r="M387" s="180">
        <v>1.68</v>
      </c>
      <c r="N387" s="180">
        <v>2.23</v>
      </c>
      <c r="O387" s="181">
        <v>2.57</v>
      </c>
      <c r="P387" s="182">
        <v>4</v>
      </c>
      <c r="Q387" s="182">
        <f>(P387*$E387*$F387*$G387*$L387*$Q$12)</f>
        <v>340734.0552</v>
      </c>
      <c r="R387" s="182">
        <v>4</v>
      </c>
      <c r="S387" s="182">
        <f>(R387*$E387*$F387*$G387*$L387*$S$12)</f>
        <v>340734.0552</v>
      </c>
      <c r="T387" s="182">
        <v>20</v>
      </c>
      <c r="U387" s="182">
        <f t="shared" si="1714"/>
        <v>1955348.8395</v>
      </c>
      <c r="V387" s="182"/>
      <c r="W387" s="183">
        <f t="shared" si="1715"/>
        <v>0</v>
      </c>
      <c r="X387" s="183">
        <v>9</v>
      </c>
      <c r="Y387" s="183">
        <v>975738.43079999974</v>
      </c>
      <c r="Z387" s="183">
        <v>0</v>
      </c>
      <c r="AA387" s="183">
        <v>0</v>
      </c>
      <c r="AB387" s="182">
        <f t="shared" si="1661"/>
        <v>9</v>
      </c>
      <c r="AC387" s="182">
        <f t="shared" si="1661"/>
        <v>975738.43079999974</v>
      </c>
      <c r="AD387" s="182"/>
      <c r="AE387" s="182">
        <f>(AD387*$E387*$F387*$G387*$L387*$AE$12)</f>
        <v>0</v>
      </c>
      <c r="AF387" s="182"/>
      <c r="AG387" s="182"/>
      <c r="AH387" s="182"/>
      <c r="AI387" s="182">
        <f>(AH387*$E387*$F387*$G387*$L387*$AI$12)</f>
        <v>0</v>
      </c>
      <c r="AJ387" s="182"/>
      <c r="AK387" s="182"/>
      <c r="AL387" s="182"/>
      <c r="AM387" s="182"/>
      <c r="AN387" s="184"/>
      <c r="AO387" s="182">
        <f>(AN387*$E387*$F387*$G387*$L387*$AO$12)</f>
        <v>0</v>
      </c>
      <c r="AP387" s="182">
        <f>10-8</f>
        <v>2</v>
      </c>
      <c r="AQ387" s="183">
        <f>(AP387*$E387*$F387*$G387*$L387*$AQ$12)</f>
        <v>170367.0276</v>
      </c>
      <c r="AR387" s="182">
        <v>7</v>
      </c>
      <c r="AS387" s="182">
        <f t="shared" si="1716"/>
        <v>643707.29125990008</v>
      </c>
      <c r="AT387" s="182">
        <v>1</v>
      </c>
      <c r="AU387" s="182">
        <f t="shared" si="1719"/>
        <v>107089.56950330517</v>
      </c>
      <c r="AV387" s="188">
        <v>1</v>
      </c>
      <c r="AW387" s="182">
        <v>130098.46</v>
      </c>
      <c r="AX387" s="182"/>
      <c r="AY387" s="187">
        <f>(AX387*$E387*$F387*$G387*$M387*$AY$12)</f>
        <v>0</v>
      </c>
      <c r="AZ387" s="182"/>
      <c r="BA387" s="182">
        <f>(AZ387*$E387*$F387*$G387*$L387*$BA$12)</f>
        <v>0</v>
      </c>
      <c r="BB387" s="182"/>
      <c r="BC387" s="182">
        <f>(BB387*$E387*$F387*$G387*$L387*$BC$12)</f>
        <v>0</v>
      </c>
      <c r="BD387" s="182"/>
      <c r="BE387" s="182">
        <f>(BD387*$E387*$F387*$G387*$L387*$BE$12)</f>
        <v>0</v>
      </c>
      <c r="BF387" s="182"/>
      <c r="BG387" s="182">
        <f>(BF387*$E387*$F387*$G387*$L387*$BG$12)</f>
        <v>0</v>
      </c>
      <c r="BH387" s="182"/>
      <c r="BI387" s="183">
        <f>(BH387*$E387*$F387*$G387*$L387*$BI$12)</f>
        <v>0</v>
      </c>
      <c r="BJ387" s="182"/>
      <c r="BK387" s="183">
        <f>(BJ387*$E387*$F387*$G387*$L387*$BK$12)</f>
        <v>0</v>
      </c>
      <c r="BL387" s="182"/>
      <c r="BM387" s="182">
        <f>(BL387*$E387*$F387*$G387*$L387*$BM$12)</f>
        <v>0</v>
      </c>
      <c r="BN387" s="182"/>
      <c r="BO387" s="182">
        <f>(BN387*$E387*$F387*$G387*$M387*$BO$12)</f>
        <v>0</v>
      </c>
      <c r="BP387" s="182"/>
      <c r="BQ387" s="182">
        <f>(BP387*$E387*$F387*$G387*$M387*$BQ$12)</f>
        <v>0</v>
      </c>
      <c r="BR387" s="182"/>
      <c r="BS387" s="183">
        <f>(BR387*$E387*$F387*$G387*$M387*$BS$12)</f>
        <v>0</v>
      </c>
      <c r="BT387" s="182"/>
      <c r="BU387" s="182">
        <f>(BT387*$E387*$F387*$G387*$M387*$BU$12)</f>
        <v>0</v>
      </c>
      <c r="BV387" s="182"/>
      <c r="BW387" s="182">
        <f>(BV387*$E387*$F387*$G387*$M387*$BW$12)</f>
        <v>0</v>
      </c>
      <c r="BX387" s="182"/>
      <c r="BY387" s="183">
        <f>(BX387*$E387*$F387*$G387*$M387*$BY$12)</f>
        <v>0</v>
      </c>
      <c r="BZ387" s="182"/>
      <c r="CA387" s="187">
        <f>(BZ387*$E387*$F387*$G387*$M387*$CA$12)</f>
        <v>0</v>
      </c>
      <c r="CB387" s="182"/>
      <c r="CC387" s="182">
        <f>(CB387*$E387*$F387*$G387*$L387*$CC$12)</f>
        <v>0</v>
      </c>
      <c r="CD387" s="182"/>
      <c r="CE387" s="182">
        <f>(CD387*$E387*$F387*$G387*$L387*$CE$12)</f>
        <v>0</v>
      </c>
      <c r="CF387" s="182"/>
      <c r="CG387" s="182">
        <f>(CF387*$E387*$F387*$G387*$L387*$CG$12)</f>
        <v>0</v>
      </c>
      <c r="CH387" s="182">
        <v>1</v>
      </c>
      <c r="CI387" s="182">
        <f t="shared" si="1723"/>
        <v>103561.62458367598</v>
      </c>
      <c r="CJ387" s="182"/>
      <c r="CK387" s="182"/>
      <c r="CL387" s="182"/>
      <c r="CM387" s="183">
        <f>(CL387*$E387*$F387*$G387*$L387*$CM$12)</f>
        <v>0</v>
      </c>
      <c r="CN387" s="182"/>
      <c r="CO387" s="183">
        <f>(CN387*$E387*$F387*$G387*$L387*$CO$12)</f>
        <v>0</v>
      </c>
      <c r="CP387" s="182"/>
      <c r="CQ387" s="182">
        <f>(CP387*$E387*$F387*$G387*$L387*$CQ$12)</f>
        <v>0</v>
      </c>
      <c r="CR387" s="182"/>
      <c r="CS387" s="182">
        <f>(CR387*$E387*$F387*$G387*$L387*$CS$12)</f>
        <v>0</v>
      </c>
      <c r="CT387" s="182"/>
      <c r="CU387" s="182">
        <f>(CT387*$E387*$F387*$G387*$L387*$CU$12)</f>
        <v>0</v>
      </c>
      <c r="CV387" s="182"/>
      <c r="CW387" s="182">
        <v>0</v>
      </c>
      <c r="CX387" s="182"/>
      <c r="CY387" s="182">
        <f>(CX387*$E387*$F387*$G387*$M387*$CY$12)</f>
        <v>0</v>
      </c>
      <c r="CZ387" s="182"/>
      <c r="DA387" s="182">
        <v>0</v>
      </c>
      <c r="DB387" s="188"/>
      <c r="DC387" s="182">
        <f>(DB387*$E387*$F387*$G387*$M387*$DC$12)</f>
        <v>0</v>
      </c>
      <c r="DD387" s="182"/>
      <c r="DE387" s="187"/>
      <c r="DF387" s="182"/>
      <c r="DG387" s="182">
        <f>(DF387*$E387*$F387*$G387*$M387*$DG$12)</f>
        <v>0</v>
      </c>
      <c r="DH387" s="189"/>
      <c r="DI387" s="182">
        <f>(DH387*$E387*$F387*$G387*$M387*$DI$12)</f>
        <v>0</v>
      </c>
      <c r="DJ387" s="182"/>
      <c r="DK387" s="182">
        <f>(DJ387*$E387*$F387*$G387*$M387*$DK$12)</f>
        <v>0</v>
      </c>
      <c r="DL387" s="182"/>
      <c r="DM387" s="182">
        <f>(DL387*$E387*$F387*$G387*$N387*$DM$12)</f>
        <v>0</v>
      </c>
      <c r="DN387" s="182"/>
      <c r="DO387" s="190">
        <f>(DN387*$E387*$F387*$G387*$O387*$DO$12)</f>
        <v>0</v>
      </c>
      <c r="DP387" s="187"/>
      <c r="DQ387" s="187"/>
      <c r="DR387" s="183">
        <f t="shared" si="1656"/>
        <v>49</v>
      </c>
      <c r="DS387" s="183">
        <f t="shared" si="1656"/>
        <v>4767379.3536468809</v>
      </c>
      <c r="DT387" s="182">
        <v>50</v>
      </c>
      <c r="DU387" s="182">
        <v>4840101.4409300005</v>
      </c>
      <c r="DV387" s="167">
        <f t="shared" si="1450"/>
        <v>-1</v>
      </c>
      <c r="DW387" s="167">
        <f t="shared" si="1450"/>
        <v>-72722.087283119559</v>
      </c>
    </row>
    <row r="388" spans="1:127" ht="15.75" customHeight="1" x14ac:dyDescent="0.25">
      <c r="A388" s="170">
        <v>33</v>
      </c>
      <c r="B388" s="197"/>
      <c r="C388" s="198"/>
      <c r="D388" s="211" t="s">
        <v>848</v>
      </c>
      <c r="E388" s="158">
        <v>25969</v>
      </c>
      <c r="F388" s="199">
        <v>1.95</v>
      </c>
      <c r="G388" s="171"/>
      <c r="H388" s="169"/>
      <c r="I388" s="169"/>
      <c r="J388" s="169"/>
      <c r="K388" s="173"/>
      <c r="L388" s="174">
        <v>1.4</v>
      </c>
      <c r="M388" s="174">
        <v>1.68</v>
      </c>
      <c r="N388" s="174">
        <v>2.23</v>
      </c>
      <c r="O388" s="175">
        <v>2.57</v>
      </c>
      <c r="P388" s="166">
        <f t="shared" ref="P388:AD388" si="1727">SUM(P389:P396)</f>
        <v>8</v>
      </c>
      <c r="Q388" s="166">
        <f t="shared" si="1727"/>
        <v>664071.47729999991</v>
      </c>
      <c r="R388" s="166">
        <f t="shared" si="1727"/>
        <v>327</v>
      </c>
      <c r="S388" s="166">
        <f t="shared" si="1727"/>
        <v>34621459.451040007</v>
      </c>
      <c r="T388" s="166">
        <f t="shared" si="1727"/>
        <v>0</v>
      </c>
      <c r="U388" s="166">
        <f t="shared" si="1727"/>
        <v>0</v>
      </c>
      <c r="V388" s="166">
        <f t="shared" si="1727"/>
        <v>0</v>
      </c>
      <c r="W388" s="166">
        <f t="shared" si="1727"/>
        <v>0</v>
      </c>
      <c r="X388" s="166">
        <v>2</v>
      </c>
      <c r="Y388" s="166">
        <v>423481.67680000007</v>
      </c>
      <c r="Z388" s="166">
        <v>0</v>
      </c>
      <c r="AA388" s="166">
        <v>0</v>
      </c>
      <c r="AB388" s="166">
        <f t="shared" si="1727"/>
        <v>2</v>
      </c>
      <c r="AC388" s="166">
        <f t="shared" si="1727"/>
        <v>423481.67680000007</v>
      </c>
      <c r="AD388" s="166">
        <f t="shared" si="1727"/>
        <v>0</v>
      </c>
      <c r="AE388" s="166">
        <f t="shared" ref="AE388:CP388" si="1728">SUM(AE389:AE396)</f>
        <v>0</v>
      </c>
      <c r="AF388" s="166">
        <f t="shared" si="1728"/>
        <v>0</v>
      </c>
      <c r="AG388" s="166">
        <f t="shared" si="1728"/>
        <v>0</v>
      </c>
      <c r="AH388" s="166">
        <f t="shared" si="1728"/>
        <v>5</v>
      </c>
      <c r="AI388" s="166">
        <f t="shared" si="1728"/>
        <v>407801.07522</v>
      </c>
      <c r="AJ388" s="166">
        <f>SUM(AJ389:AJ396)</f>
        <v>0</v>
      </c>
      <c r="AK388" s="166">
        <f>SUM(AK389:AK396)</f>
        <v>0</v>
      </c>
      <c r="AL388" s="166">
        <f t="shared" si="1728"/>
        <v>0</v>
      </c>
      <c r="AM388" s="166">
        <f t="shared" si="1728"/>
        <v>0</v>
      </c>
      <c r="AN388" s="166">
        <f t="shared" si="1728"/>
        <v>2</v>
      </c>
      <c r="AO388" s="166">
        <f t="shared" si="1728"/>
        <v>151530.67314000003</v>
      </c>
      <c r="AP388" s="166">
        <f t="shared" si="1728"/>
        <v>13</v>
      </c>
      <c r="AQ388" s="166">
        <f t="shared" si="1728"/>
        <v>1517146.3753599999</v>
      </c>
      <c r="AR388" s="166">
        <f t="shared" si="1728"/>
        <v>26</v>
      </c>
      <c r="AS388" s="166">
        <f t="shared" si="1728"/>
        <v>2689582.6177672204</v>
      </c>
      <c r="AT388" s="166">
        <f t="shared" si="1728"/>
        <v>60</v>
      </c>
      <c r="AU388" s="166">
        <f t="shared" si="1728"/>
        <v>5758452.5084793726</v>
      </c>
      <c r="AV388" s="166">
        <f t="shared" si="1728"/>
        <v>0</v>
      </c>
      <c r="AW388" s="166">
        <f t="shared" si="1728"/>
        <v>0</v>
      </c>
      <c r="AX388" s="166">
        <f t="shared" si="1728"/>
        <v>0</v>
      </c>
      <c r="AY388" s="166">
        <f t="shared" si="1728"/>
        <v>0</v>
      </c>
      <c r="AZ388" s="166">
        <f t="shared" si="1728"/>
        <v>0</v>
      </c>
      <c r="BA388" s="166">
        <f t="shared" si="1728"/>
        <v>0</v>
      </c>
      <c r="BB388" s="166">
        <f t="shared" si="1728"/>
        <v>0</v>
      </c>
      <c r="BC388" s="166">
        <f t="shared" si="1728"/>
        <v>0</v>
      </c>
      <c r="BD388" s="166">
        <f t="shared" si="1728"/>
        <v>0</v>
      </c>
      <c r="BE388" s="166">
        <f t="shared" si="1728"/>
        <v>0</v>
      </c>
      <c r="BF388" s="166">
        <f t="shared" si="1728"/>
        <v>0</v>
      </c>
      <c r="BG388" s="166">
        <f t="shared" si="1728"/>
        <v>0</v>
      </c>
      <c r="BH388" s="166">
        <f t="shared" si="1728"/>
        <v>0</v>
      </c>
      <c r="BI388" s="166">
        <f t="shared" si="1728"/>
        <v>0</v>
      </c>
      <c r="BJ388" s="166">
        <f t="shared" si="1728"/>
        <v>0</v>
      </c>
      <c r="BK388" s="166">
        <f t="shared" si="1728"/>
        <v>0</v>
      </c>
      <c r="BL388" s="166">
        <f t="shared" si="1728"/>
        <v>32</v>
      </c>
      <c r="BM388" s="166">
        <f t="shared" si="1728"/>
        <v>3359456.5817414755</v>
      </c>
      <c r="BN388" s="166">
        <f t="shared" si="1728"/>
        <v>104</v>
      </c>
      <c r="BO388" s="166">
        <f t="shared" si="1728"/>
        <v>11209766.490384001</v>
      </c>
      <c r="BP388" s="166">
        <f t="shared" si="1728"/>
        <v>0</v>
      </c>
      <c r="BQ388" s="166">
        <f t="shared" si="1728"/>
        <v>0</v>
      </c>
      <c r="BR388" s="166">
        <f t="shared" si="1728"/>
        <v>0</v>
      </c>
      <c r="BS388" s="166">
        <f t="shared" si="1728"/>
        <v>0</v>
      </c>
      <c r="BT388" s="166">
        <f t="shared" si="1728"/>
        <v>14</v>
      </c>
      <c r="BU388" s="166">
        <f t="shared" si="1728"/>
        <v>1044398.9454154838</v>
      </c>
      <c r="BV388" s="166">
        <f t="shared" si="1728"/>
        <v>2</v>
      </c>
      <c r="BW388" s="166">
        <f t="shared" si="1728"/>
        <v>95021.609759999992</v>
      </c>
      <c r="BX388" s="166">
        <f t="shared" si="1728"/>
        <v>11</v>
      </c>
      <c r="BY388" s="166">
        <f t="shared" si="1728"/>
        <v>1270298.9868103582</v>
      </c>
      <c r="BZ388" s="166">
        <f t="shared" si="1728"/>
        <v>9</v>
      </c>
      <c r="CA388" s="166">
        <f t="shared" si="1728"/>
        <v>2333706.8854124337</v>
      </c>
      <c r="CB388" s="166">
        <f t="shared" si="1728"/>
        <v>0</v>
      </c>
      <c r="CC388" s="166">
        <f t="shared" si="1728"/>
        <v>0</v>
      </c>
      <c r="CD388" s="166">
        <f t="shared" si="1728"/>
        <v>0</v>
      </c>
      <c r="CE388" s="166">
        <f t="shared" si="1728"/>
        <v>0</v>
      </c>
      <c r="CF388" s="166">
        <f t="shared" si="1728"/>
        <v>0</v>
      </c>
      <c r="CG388" s="166">
        <f t="shared" si="1728"/>
        <v>0</v>
      </c>
      <c r="CH388" s="166">
        <f t="shared" si="1728"/>
        <v>16</v>
      </c>
      <c r="CI388" s="166">
        <f t="shared" si="1728"/>
        <v>1479472.6171158107</v>
      </c>
      <c r="CJ388" s="166">
        <f t="shared" si="1728"/>
        <v>0</v>
      </c>
      <c r="CK388" s="166">
        <f t="shared" si="1728"/>
        <v>0</v>
      </c>
      <c r="CL388" s="166">
        <f t="shared" si="1728"/>
        <v>0</v>
      </c>
      <c r="CM388" s="166">
        <f t="shared" si="1728"/>
        <v>0</v>
      </c>
      <c r="CN388" s="166">
        <f t="shared" si="1728"/>
        <v>15</v>
      </c>
      <c r="CO388" s="166">
        <f t="shared" si="1728"/>
        <v>1142615.2248000002</v>
      </c>
      <c r="CP388" s="166">
        <f t="shared" si="1728"/>
        <v>28</v>
      </c>
      <c r="CQ388" s="166">
        <f t="shared" ref="CQ388:DQ388" si="1729">SUM(CQ389:CQ396)</f>
        <v>1920044.6903567996</v>
      </c>
      <c r="CR388" s="166">
        <f t="shared" si="1729"/>
        <v>29</v>
      </c>
      <c r="CS388" s="166">
        <f t="shared" si="1729"/>
        <v>2537534.9512302577</v>
      </c>
      <c r="CT388" s="166">
        <f t="shared" si="1729"/>
        <v>23</v>
      </c>
      <c r="CU388" s="166">
        <f t="shared" si="1729"/>
        <v>1715711.940759642</v>
      </c>
      <c r="CV388" s="166">
        <f t="shared" si="1729"/>
        <v>31</v>
      </c>
      <c r="CW388" s="166">
        <v>2945844.39</v>
      </c>
      <c r="CX388" s="166">
        <f t="shared" si="1729"/>
        <v>16</v>
      </c>
      <c r="CY388" s="166">
        <f t="shared" si="1729"/>
        <v>2666017.3156993152</v>
      </c>
      <c r="CZ388" s="166">
        <f t="shared" si="1729"/>
        <v>0</v>
      </c>
      <c r="DA388" s="166">
        <v>0</v>
      </c>
      <c r="DB388" s="166">
        <f t="shared" si="1729"/>
        <v>1</v>
      </c>
      <c r="DC388" s="166">
        <f t="shared" si="1729"/>
        <v>163342.93248000005</v>
      </c>
      <c r="DD388" s="166">
        <f t="shared" si="1729"/>
        <v>0</v>
      </c>
      <c r="DE388" s="166">
        <f t="shared" si="1729"/>
        <v>0</v>
      </c>
      <c r="DF388" s="166">
        <f t="shared" si="1729"/>
        <v>0</v>
      </c>
      <c r="DG388" s="166">
        <f t="shared" si="1729"/>
        <v>0</v>
      </c>
      <c r="DH388" s="166">
        <f t="shared" si="1729"/>
        <v>2</v>
      </c>
      <c r="DI388" s="166">
        <f t="shared" si="1729"/>
        <v>132497.99304</v>
      </c>
      <c r="DJ388" s="166">
        <f t="shared" si="1729"/>
        <v>9</v>
      </c>
      <c r="DK388" s="166">
        <f t="shared" si="1729"/>
        <v>880078.63764329592</v>
      </c>
      <c r="DL388" s="166">
        <f t="shared" si="1729"/>
        <v>2</v>
      </c>
      <c r="DM388" s="166">
        <f t="shared" si="1729"/>
        <v>137827.87059999999</v>
      </c>
      <c r="DN388" s="166">
        <f t="shared" si="1729"/>
        <v>8</v>
      </c>
      <c r="DO388" s="166">
        <f t="shared" si="1729"/>
        <v>1058034.4514899999</v>
      </c>
      <c r="DP388" s="166">
        <f t="shared" si="1729"/>
        <v>0</v>
      </c>
      <c r="DQ388" s="166">
        <f t="shared" si="1729"/>
        <v>0</v>
      </c>
      <c r="DR388" s="166">
        <f>SUM(DR389:DR396)</f>
        <v>795</v>
      </c>
      <c r="DS388" s="166">
        <f t="shared" ref="DS388" si="1730">SUM(DS389:DS396)</f>
        <v>82325198.36984548</v>
      </c>
      <c r="DT388" s="166">
        <v>839</v>
      </c>
      <c r="DU388" s="166">
        <v>84593442.470162004</v>
      </c>
      <c r="DV388" s="167">
        <f t="shared" si="1450"/>
        <v>-44</v>
      </c>
      <c r="DW388" s="167">
        <f t="shared" si="1450"/>
        <v>-2268244.1003165245</v>
      </c>
    </row>
    <row r="389" spans="1:127" ht="15.75" customHeight="1" x14ac:dyDescent="0.25">
      <c r="A389" s="154"/>
      <c r="B389" s="176">
        <v>341</v>
      </c>
      <c r="C389" s="177" t="s">
        <v>849</v>
      </c>
      <c r="D389" s="210" t="s">
        <v>850</v>
      </c>
      <c r="E389" s="158">
        <v>25969</v>
      </c>
      <c r="F389" s="179">
        <v>1.17</v>
      </c>
      <c r="G389" s="168">
        <v>1</v>
      </c>
      <c r="H389" s="169"/>
      <c r="I389" s="169"/>
      <c r="J389" s="169"/>
      <c r="K389" s="106"/>
      <c r="L389" s="180">
        <v>1.4</v>
      </c>
      <c r="M389" s="180">
        <v>1.68</v>
      </c>
      <c r="N389" s="180">
        <v>2.23</v>
      </c>
      <c r="O389" s="181">
        <v>2.57</v>
      </c>
      <c r="P389" s="182">
        <v>3</v>
      </c>
      <c r="Q389" s="182">
        <f t="shared" ref="Q389:Q396" si="1731">(P389*$E389*$F389*$G389*$L389*$Q$12)</f>
        <v>140372.83259999997</v>
      </c>
      <c r="R389" s="182">
        <v>2</v>
      </c>
      <c r="S389" s="182">
        <f t="shared" ref="S389:S396" si="1732">(R389*$E389*$F389*$G389*$L389*$S$12)</f>
        <v>93581.888399999996</v>
      </c>
      <c r="T389" s="182"/>
      <c r="U389" s="182">
        <f t="shared" ref="U389:U396" si="1733">(T389/12*11*$E389*$F389*$G389*$L389*$U$12)+(T389/12*1*$E389*$F389*$G389*$L389*$U$14)</f>
        <v>0</v>
      </c>
      <c r="V389" s="182"/>
      <c r="W389" s="183">
        <f t="shared" ref="W389:W396" si="1734">(V389*$E389*$F389*$G389*$L389*$W$12)/12*10+(V389*$E389*$F389*$G389*$L389*$W$13)/12*1++(V389*$E389*$F389*$G389*$L389*$W$14)/12*1</f>
        <v>0</v>
      </c>
      <c r="X389" s="183"/>
      <c r="Y389" s="183">
        <v>0</v>
      </c>
      <c r="Z389" s="183"/>
      <c r="AA389" s="183">
        <v>0</v>
      </c>
      <c r="AB389" s="182">
        <f t="shared" ref="AB389:AC396" si="1735">X389+Z389</f>
        <v>0</v>
      </c>
      <c r="AC389" s="182">
        <f t="shared" si="1735"/>
        <v>0</v>
      </c>
      <c r="AD389" s="182"/>
      <c r="AE389" s="182">
        <f t="shared" ref="AE389:AE396" si="1736">(AD389*$E389*$F389*$G389*$L389*$AE$12)</f>
        <v>0</v>
      </c>
      <c r="AF389" s="182"/>
      <c r="AG389" s="182"/>
      <c r="AH389" s="182">
        <v>2</v>
      </c>
      <c r="AI389" s="182">
        <f t="shared" ref="AI389:AI396" si="1737">(AH389*$E389*$F389*$G389*$L389*$AI$12)</f>
        <v>93581.888399999996</v>
      </c>
      <c r="AJ389" s="182"/>
      <c r="AK389" s="182"/>
      <c r="AL389" s="182"/>
      <c r="AM389" s="182"/>
      <c r="AN389" s="205">
        <v>1</v>
      </c>
      <c r="AO389" s="182">
        <f t="shared" ref="AO389:AO396" si="1738">(AN389*$E389*$F389*$G389*$L389*$AO$12)</f>
        <v>46790.944199999998</v>
      </c>
      <c r="AP389" s="182">
        <v>3</v>
      </c>
      <c r="AQ389" s="183">
        <f t="shared" ref="AQ389:AQ396" si="1739">(AP389*$E389*$F389*$G389*$L389*$AQ$12)</f>
        <v>140372.83259999997</v>
      </c>
      <c r="AR389" s="182">
        <v>4</v>
      </c>
      <c r="AS389" s="182">
        <f t="shared" si="1716"/>
        <v>202048.96868519997</v>
      </c>
      <c r="AT389" s="182">
        <v>2</v>
      </c>
      <c r="AU389" s="182">
        <f t="shared" ref="AU389:AU394" si="1740">(AT389*$E389*$F389*$G389*$M389*$AU$12)/12*10+(AT389*$E389*$F389*$G389*$M389*$AU$13)/12+(AT389*$E389*$F389*$G389*$M389*$AU$14*$AU$15)/12</f>
        <v>117647.69607405362</v>
      </c>
      <c r="AV389" s="188"/>
      <c r="AW389" s="182">
        <f t="shared" ref="AW389:AW396" si="1741">(AV389*$E389*$F389*$G389*$M389*$AW$12)</f>
        <v>0</v>
      </c>
      <c r="AX389" s="182"/>
      <c r="AY389" s="187">
        <f t="shared" ref="AY389:AY396" si="1742">(AX389*$E389*$F389*$G389*$M389*$AY$12)</f>
        <v>0</v>
      </c>
      <c r="AZ389" s="182"/>
      <c r="BA389" s="182">
        <f t="shared" ref="BA389:BA396" si="1743">(AZ389*$E389*$F389*$G389*$L389*$BA$12)</f>
        <v>0</v>
      </c>
      <c r="BB389" s="182"/>
      <c r="BC389" s="182">
        <f t="shared" ref="BC389:BC396" si="1744">(BB389*$E389*$F389*$G389*$L389*$BC$12)</f>
        <v>0</v>
      </c>
      <c r="BD389" s="182"/>
      <c r="BE389" s="182">
        <f t="shared" ref="BE389:BE396" si="1745">(BD389*$E389*$F389*$G389*$L389*$BE$12)</f>
        <v>0</v>
      </c>
      <c r="BF389" s="182"/>
      <c r="BG389" s="182">
        <f t="shared" ref="BG389:BG396" si="1746">(BF389*$E389*$F389*$G389*$L389*$BG$12)</f>
        <v>0</v>
      </c>
      <c r="BH389" s="182"/>
      <c r="BI389" s="183">
        <f t="shared" ref="BI389:BI396" si="1747">(BH389*$E389*$F389*$G389*$L389*$BI$12)</f>
        <v>0</v>
      </c>
      <c r="BJ389" s="182"/>
      <c r="BK389" s="183">
        <f t="shared" ref="BK389:BK396" si="1748">(BJ389*$E389*$F389*$G389*$L389*$BK$12)</f>
        <v>0</v>
      </c>
      <c r="BL389" s="182">
        <v>5</v>
      </c>
      <c r="BM389" s="182">
        <f t="shared" ref="BM389:BM393" si="1749">(BL389/12*11*$E389*$F389*$G389*$L389*$BM$12)+(BL389/12*$E389*$F389*$G389*$L389*$BM$12*$BM$15)</f>
        <v>296883.86185458</v>
      </c>
      <c r="BN389" s="182">
        <v>2</v>
      </c>
      <c r="BO389" s="182">
        <f t="shared" ref="BO389:BO396" si="1750">(BN389*$E389*$F389*$G389*$M389*$BO$12)</f>
        <v>112298.26608</v>
      </c>
      <c r="BP389" s="182"/>
      <c r="BQ389" s="182">
        <f t="shared" ref="BQ389:BQ396" si="1751">(BP389*$E389*$F389*$G389*$M389*$BQ$12)</f>
        <v>0</v>
      </c>
      <c r="BR389" s="182"/>
      <c r="BS389" s="183">
        <f t="shared" ref="BS389:BS396" si="1752">(BR389*$E389*$F389*$G389*$M389*$BS$12)</f>
        <v>0</v>
      </c>
      <c r="BT389" s="182">
        <v>3</v>
      </c>
      <c r="BU389" s="182">
        <f t="shared" ref="BU389:BU392" si="1753">(BT389*$E389*$F389*$G389*$M389*$BU$12)/12*10+(BT389*$E389*$F389*$G389*$M389*$BU$13)/12+(BT389*$E389*$F389*$G389*$M389*$BU$13*$BU$15)/12</f>
        <v>170591.47928746557</v>
      </c>
      <c r="BV389" s="182"/>
      <c r="BW389" s="182">
        <f t="shared" ref="BW389:BW396" si="1754">(BV389*$E389*$F389*$G389*$M389*$BW$12)</f>
        <v>0</v>
      </c>
      <c r="BX389" s="182"/>
      <c r="BY389" s="183">
        <f t="shared" ref="BY389:BY396" si="1755">(BX389*$E389*$F389*$G389*$M389*$BY$12)</f>
        <v>0</v>
      </c>
      <c r="BZ389" s="182">
        <v>1</v>
      </c>
      <c r="CA389" s="187">
        <f t="shared" ref="CA389:CA395" si="1756">(BZ389*$E389*$F389*$G389*$M389*$CA$12)/12*11+(BZ389*$E389*$F389*$G389*$M389*$CA$12*$CA$15)/12</f>
        <v>66711.550634819985</v>
      </c>
      <c r="CB389" s="182"/>
      <c r="CC389" s="182">
        <f t="shared" ref="CC389:CC396" si="1757">(CB389*$E389*$F389*$G389*$L389*$CC$12)</f>
        <v>0</v>
      </c>
      <c r="CD389" s="182"/>
      <c r="CE389" s="182">
        <f t="shared" ref="CE389:CE396" si="1758">(CD389*$E389*$F389*$G389*$L389*$CE$12)</f>
        <v>0</v>
      </c>
      <c r="CF389" s="182"/>
      <c r="CG389" s="182">
        <f t="shared" ref="CG389:CG396" si="1759">(CF389*$E389*$F389*$G389*$L389*$CG$12)</f>
        <v>0</v>
      </c>
      <c r="CH389" s="182">
        <v>4</v>
      </c>
      <c r="CI389" s="182">
        <f t="shared" ref="CI389:CI394" si="1760">(CH389*$E389*$F389*$G389*$M389*$CI$12)/12*11+(CH389*$E389*$F389*$G389*$M389*$CI$12*$CI$15)/12</f>
        <v>227543.85119793596</v>
      </c>
      <c r="CJ389" s="182"/>
      <c r="CK389" s="182"/>
      <c r="CL389" s="182"/>
      <c r="CM389" s="183">
        <f t="shared" ref="CM389:CM396" si="1761">(CL389*$E389*$F389*$G389*$L389*$CM$12)</f>
        <v>0</v>
      </c>
      <c r="CN389" s="182"/>
      <c r="CO389" s="183">
        <f t="shared" ref="CO389:CO396" si="1762">(CN389*$E389*$F389*$G389*$L389*$CO$12)</f>
        <v>0</v>
      </c>
      <c r="CP389" s="182">
        <v>8</v>
      </c>
      <c r="CQ389" s="182">
        <f t="shared" ref="CQ389:CQ391" si="1763">(CP389*$E389*$F389*$G389*$L389*$CQ$12)/12*11+(CP389*$E389*$F389*$G389*$L389*$CQ$12*$CQ$15)/12</f>
        <v>377158.83109631995</v>
      </c>
      <c r="CR389" s="182">
        <v>10</v>
      </c>
      <c r="CS389" s="182">
        <f t="shared" ref="CS389:CS394" si="1764">(CR389*$E389*$F389*$G389*$L389*$CS$12)/12*10+(CR389*$E389*$F389*$G389*$L389*$CS$13)/12+(CR389*$E389*$F389*$G389*$L389*$CS$13*$CS$15)/12</f>
        <v>509965.28443769994</v>
      </c>
      <c r="CT389" s="182">
        <v>2</v>
      </c>
      <c r="CU389" s="182">
        <f t="shared" ref="CU389:CU393" si="1765">(CT389*$E389*$F389*$G389*$L389*$CU$12)/12*11+(CT389*$E389*$F389*$G389*$L389*$CU$12*$CU$15)/12</f>
        <v>89310.300566759994</v>
      </c>
      <c r="CV389" s="182">
        <v>4</v>
      </c>
      <c r="CW389" s="182">
        <v>204178.68</v>
      </c>
      <c r="CX389" s="182">
        <v>2</v>
      </c>
      <c r="CY389" s="182">
        <f t="shared" ref="CY389:CY399" si="1766">(CX389/12*11*$E389*$F389*$G389*$M389*$CY$12)+(CX389/12*$E389*$F389*$G389*$M389*$CY$15*$CY$12)</f>
        <v>110173.78706443198</v>
      </c>
      <c r="CZ389" s="182"/>
      <c r="DA389" s="182">
        <v>0</v>
      </c>
      <c r="DB389" s="188"/>
      <c r="DC389" s="182">
        <f t="shared" ref="DC389:DC396" si="1767">(DB389*$E389*$F389*$G389*$M389*$DC$12)</f>
        <v>0</v>
      </c>
      <c r="DD389" s="182"/>
      <c r="DE389" s="187"/>
      <c r="DF389" s="182"/>
      <c r="DG389" s="182">
        <f t="shared" ref="DG389:DG396" si="1768">(DF389*$E389*$F389*$G389*$M389*$DG$12)</f>
        <v>0</v>
      </c>
      <c r="DH389" s="189"/>
      <c r="DI389" s="182">
        <f t="shared" ref="DI389:DI396" si="1769">(DH389*$E389*$F389*$G389*$M389*$DI$12)</f>
        <v>0</v>
      </c>
      <c r="DJ389" s="182">
        <v>1</v>
      </c>
      <c r="DK389" s="182">
        <f t="shared" ref="DK389:DK392" si="1770">(DJ389/12*11*$E389*$F389*$G389*$M389*$DK$12)+(DJ389/12*1*$E389*$F389*$M389*$G389*$DK$12*$DK$15)</f>
        <v>55622.94760385999</v>
      </c>
      <c r="DL389" s="182">
        <f>ROUND(1*0.75,0)</f>
        <v>1</v>
      </c>
      <c r="DM389" s="182">
        <f t="shared" ref="DM389:DM396" si="1771">(DL389*$E389*$F389*$G389*$N389*$DM$12)</f>
        <v>67755.717900000003</v>
      </c>
      <c r="DN389" s="182">
        <f>ROUND(2*0.75,0)</f>
        <v>2</v>
      </c>
      <c r="DO389" s="190">
        <f t="shared" ref="DO389:DO396" si="1772">(DN389*$E389*$F389*$G389*$O389*$DO$12)</f>
        <v>156172.37219999998</v>
      </c>
      <c r="DP389" s="187"/>
      <c r="DQ389" s="187"/>
      <c r="DR389" s="183">
        <f t="shared" ref="DR389:DS396" si="1773">SUM(P389,R389,T389,V389,AB389,AJ389,AD389,AF389,AH389,AL389,AN389,AP389,AV389,AZ389,BB389,CF389,AR389,BF389,BH389,BJ389,CT389,BL389,BN389,AT389,BR389,AX389,CV389,BT389,CX389,BV389,BX389,BZ389,CH389,CB389,CD389,CJ389,CL389,CN389,CP389,CR389,CZ389,DB389,BP389,BD389,DD389,DF389,DH389,DJ389,DL389,DN389,DP389)</f>
        <v>62</v>
      </c>
      <c r="DS389" s="183">
        <f t="shared" si="1773"/>
        <v>3278763.9808831266</v>
      </c>
      <c r="DT389" s="182">
        <v>65</v>
      </c>
      <c r="DU389" s="182">
        <v>3201533.6445000004</v>
      </c>
      <c r="DV389" s="167">
        <f t="shared" si="1450"/>
        <v>-3</v>
      </c>
      <c r="DW389" s="167">
        <f t="shared" si="1450"/>
        <v>77230.33638312621</v>
      </c>
    </row>
    <row r="390" spans="1:127" ht="15.75" customHeight="1" x14ac:dyDescent="0.25">
      <c r="A390" s="154"/>
      <c r="B390" s="176">
        <v>342</v>
      </c>
      <c r="C390" s="177" t="s">
        <v>851</v>
      </c>
      <c r="D390" s="210" t="s">
        <v>852</v>
      </c>
      <c r="E390" s="158">
        <v>25969</v>
      </c>
      <c r="F390" s="179">
        <v>2.91</v>
      </c>
      <c r="G390" s="243">
        <v>0.9</v>
      </c>
      <c r="H390" s="242"/>
      <c r="I390" s="242"/>
      <c r="J390" s="242"/>
      <c r="K390" s="106"/>
      <c r="L390" s="180">
        <v>1.4</v>
      </c>
      <c r="M390" s="180">
        <v>1.68</v>
      </c>
      <c r="N390" s="180">
        <v>2.23</v>
      </c>
      <c r="O390" s="181">
        <v>2.57</v>
      </c>
      <c r="P390" s="182">
        <v>5</v>
      </c>
      <c r="Q390" s="182">
        <f t="shared" si="1731"/>
        <v>523698.6447</v>
      </c>
      <c r="R390" s="182">
        <v>8</v>
      </c>
      <c r="S390" s="182">
        <f t="shared" si="1732"/>
        <v>837917.83152000024</v>
      </c>
      <c r="T390" s="182"/>
      <c r="U390" s="182">
        <f t="shared" si="1733"/>
        <v>0</v>
      </c>
      <c r="V390" s="182"/>
      <c r="W390" s="183">
        <f t="shared" si="1734"/>
        <v>0</v>
      </c>
      <c r="X390" s="183"/>
      <c r="Y390" s="183">
        <v>0</v>
      </c>
      <c r="Z390" s="183"/>
      <c r="AA390" s="183">
        <v>0</v>
      </c>
      <c r="AB390" s="182">
        <f t="shared" si="1735"/>
        <v>0</v>
      </c>
      <c r="AC390" s="182">
        <f t="shared" si="1735"/>
        <v>0</v>
      </c>
      <c r="AD390" s="182"/>
      <c r="AE390" s="182">
        <f t="shared" si="1736"/>
        <v>0</v>
      </c>
      <c r="AF390" s="182"/>
      <c r="AG390" s="182"/>
      <c r="AH390" s="182">
        <v>3</v>
      </c>
      <c r="AI390" s="182">
        <f t="shared" si="1737"/>
        <v>314219.18682</v>
      </c>
      <c r="AJ390" s="182"/>
      <c r="AK390" s="182"/>
      <c r="AL390" s="182"/>
      <c r="AM390" s="182"/>
      <c r="AN390" s="205">
        <v>1</v>
      </c>
      <c r="AO390" s="182">
        <f t="shared" si="1738"/>
        <v>104739.72894000003</v>
      </c>
      <c r="AP390" s="182">
        <v>6</v>
      </c>
      <c r="AQ390" s="183">
        <f t="shared" si="1739"/>
        <v>628438.37364000001</v>
      </c>
      <c r="AR390" s="182">
        <v>22</v>
      </c>
      <c r="AS390" s="182">
        <f t="shared" si="1716"/>
        <v>2487533.6490820204</v>
      </c>
      <c r="AT390" s="182">
        <f>5+10+4</f>
        <v>19</v>
      </c>
      <c r="AU390" s="182">
        <f t="shared" si="1740"/>
        <v>2501823.5061286245</v>
      </c>
      <c r="AV390" s="188"/>
      <c r="AW390" s="182">
        <f t="shared" si="1741"/>
        <v>0</v>
      </c>
      <c r="AX390" s="182"/>
      <c r="AY390" s="187">
        <f t="shared" si="1742"/>
        <v>0</v>
      </c>
      <c r="AZ390" s="182"/>
      <c r="BA390" s="182">
        <f t="shared" si="1743"/>
        <v>0</v>
      </c>
      <c r="BB390" s="182"/>
      <c r="BC390" s="182">
        <f t="shared" si="1744"/>
        <v>0</v>
      </c>
      <c r="BD390" s="182"/>
      <c r="BE390" s="182">
        <f t="shared" si="1745"/>
        <v>0</v>
      </c>
      <c r="BF390" s="182"/>
      <c r="BG390" s="182">
        <f t="shared" si="1746"/>
        <v>0</v>
      </c>
      <c r="BH390" s="182"/>
      <c r="BI390" s="183">
        <f t="shared" si="1747"/>
        <v>0</v>
      </c>
      <c r="BJ390" s="182"/>
      <c r="BK390" s="183">
        <f t="shared" si="1748"/>
        <v>0</v>
      </c>
      <c r="BL390" s="182">
        <v>14</v>
      </c>
      <c r="BM390" s="182">
        <f t="shared" si="1749"/>
        <v>1860776.6972239369</v>
      </c>
      <c r="BN390" s="182">
        <v>34</v>
      </c>
      <c r="BO390" s="182">
        <f t="shared" si="1750"/>
        <v>4273380.9407520005</v>
      </c>
      <c r="BP390" s="182"/>
      <c r="BQ390" s="182">
        <f t="shared" si="1751"/>
        <v>0</v>
      </c>
      <c r="BR390" s="182"/>
      <c r="BS390" s="183">
        <f t="shared" si="1752"/>
        <v>0</v>
      </c>
      <c r="BT390" s="182">
        <v>2</v>
      </c>
      <c r="BU390" s="182">
        <f t="shared" si="1753"/>
        <v>254574.97678283331</v>
      </c>
      <c r="BV390" s="182"/>
      <c r="BW390" s="182">
        <f t="shared" si="1754"/>
        <v>0</v>
      </c>
      <c r="BX390" s="182">
        <v>5</v>
      </c>
      <c r="BY390" s="183">
        <f t="shared" ref="BY390:BY393" si="1774">(BX390*$E390*$F390*$G390*$M390*$BY$12)/12*11+(BX390*$E390*$F390*$G390*$M390*$BY$12*$BY$15)/12</f>
        <v>770511.15069163183</v>
      </c>
      <c r="BZ390" s="182">
        <v>5</v>
      </c>
      <c r="CA390" s="187">
        <f t="shared" si="1756"/>
        <v>746656.20133586985</v>
      </c>
      <c r="CB390" s="182"/>
      <c r="CC390" s="182">
        <f t="shared" si="1757"/>
        <v>0</v>
      </c>
      <c r="CD390" s="182"/>
      <c r="CE390" s="182">
        <f t="shared" si="1758"/>
        <v>0</v>
      </c>
      <c r="CF390" s="182"/>
      <c r="CG390" s="182">
        <f t="shared" si="1759"/>
        <v>0</v>
      </c>
      <c r="CH390" s="182">
        <v>5</v>
      </c>
      <c r="CI390" s="182">
        <f t="shared" si="1760"/>
        <v>636685.19902499404</v>
      </c>
      <c r="CJ390" s="182"/>
      <c r="CK390" s="182"/>
      <c r="CL390" s="182"/>
      <c r="CM390" s="183">
        <f t="shared" si="1761"/>
        <v>0</v>
      </c>
      <c r="CN390" s="182">
        <v>15</v>
      </c>
      <c r="CO390" s="183">
        <f t="shared" si="1762"/>
        <v>1142615.2248000002</v>
      </c>
      <c r="CP390" s="182">
        <v>10</v>
      </c>
      <c r="CQ390" s="182">
        <f t="shared" si="1763"/>
        <v>1055319.4216252798</v>
      </c>
      <c r="CR390" s="182">
        <v>10</v>
      </c>
      <c r="CS390" s="182">
        <f t="shared" si="1764"/>
        <v>1141537.6751643899</v>
      </c>
      <c r="CT390" s="182">
        <v>3</v>
      </c>
      <c r="CU390" s="182">
        <f t="shared" si="1765"/>
        <v>299876.50921069802</v>
      </c>
      <c r="CV390" s="182">
        <v>7</v>
      </c>
      <c r="CW390" s="182">
        <v>799830.64</v>
      </c>
      <c r="CX390" s="182">
        <v>5</v>
      </c>
      <c r="CY390" s="182">
        <f t="shared" si="1766"/>
        <v>616549.46222595614</v>
      </c>
      <c r="CZ390" s="182"/>
      <c r="DA390" s="182">
        <v>0</v>
      </c>
      <c r="DB390" s="188"/>
      <c r="DC390" s="182">
        <f t="shared" si="1767"/>
        <v>0</v>
      </c>
      <c r="DD390" s="182"/>
      <c r="DE390" s="187"/>
      <c r="DF390" s="182"/>
      <c r="DG390" s="182">
        <f t="shared" si="1768"/>
        <v>0</v>
      </c>
      <c r="DH390" s="189"/>
      <c r="DI390" s="182">
        <f t="shared" si="1769"/>
        <v>0</v>
      </c>
      <c r="DJ390" s="182">
        <v>5</v>
      </c>
      <c r="DK390" s="182">
        <f t="shared" si="1770"/>
        <v>622549.14433551009</v>
      </c>
      <c r="DL390" s="182"/>
      <c r="DM390" s="182">
        <f t="shared" si="1771"/>
        <v>0</v>
      </c>
      <c r="DN390" s="182">
        <f>ROUND(5*0.75,0)</f>
        <v>4</v>
      </c>
      <c r="DO390" s="190">
        <f t="shared" si="1772"/>
        <v>699171.69708000007</v>
      </c>
      <c r="DP390" s="187"/>
      <c r="DQ390" s="187"/>
      <c r="DR390" s="183">
        <f t="shared" si="1773"/>
        <v>188</v>
      </c>
      <c r="DS390" s="183">
        <f t="shared" si="1773"/>
        <v>22318405.86108375</v>
      </c>
      <c r="DT390" s="182">
        <v>199</v>
      </c>
      <c r="DU390" s="182">
        <v>22452661.201204006</v>
      </c>
      <c r="DV390" s="167">
        <f t="shared" si="1450"/>
        <v>-11</v>
      </c>
      <c r="DW390" s="167">
        <f t="shared" si="1450"/>
        <v>-134255.34012025595</v>
      </c>
    </row>
    <row r="391" spans="1:127" ht="15.75" customHeight="1" x14ac:dyDescent="0.25">
      <c r="A391" s="154"/>
      <c r="B391" s="176">
        <v>343</v>
      </c>
      <c r="C391" s="177" t="s">
        <v>853</v>
      </c>
      <c r="D391" s="210" t="s">
        <v>854</v>
      </c>
      <c r="E391" s="158">
        <v>25969</v>
      </c>
      <c r="F391" s="179">
        <v>1.21</v>
      </c>
      <c r="G391" s="168">
        <v>1</v>
      </c>
      <c r="H391" s="169"/>
      <c r="I391" s="169"/>
      <c r="J391" s="169"/>
      <c r="K391" s="106"/>
      <c r="L391" s="180">
        <v>1.4</v>
      </c>
      <c r="M391" s="180">
        <v>1.68</v>
      </c>
      <c r="N391" s="180">
        <v>2.23</v>
      </c>
      <c r="O391" s="181">
        <v>2.57</v>
      </c>
      <c r="P391" s="182">
        <v>0</v>
      </c>
      <c r="Q391" s="182">
        <f t="shared" si="1731"/>
        <v>0</v>
      </c>
      <c r="R391" s="182">
        <v>115</v>
      </c>
      <c r="S391" s="182">
        <f t="shared" si="1732"/>
        <v>5564922.9790000003</v>
      </c>
      <c r="T391" s="182"/>
      <c r="U391" s="182">
        <f t="shared" si="1733"/>
        <v>0</v>
      </c>
      <c r="V391" s="182"/>
      <c r="W391" s="183">
        <f t="shared" si="1734"/>
        <v>0</v>
      </c>
      <c r="X391" s="183"/>
      <c r="Y391" s="183">
        <v>0</v>
      </c>
      <c r="Z391" s="183"/>
      <c r="AA391" s="183">
        <v>0</v>
      </c>
      <c r="AB391" s="182">
        <f t="shared" si="1735"/>
        <v>0</v>
      </c>
      <c r="AC391" s="182">
        <f t="shared" si="1735"/>
        <v>0</v>
      </c>
      <c r="AD391" s="182"/>
      <c r="AE391" s="182">
        <f t="shared" si="1736"/>
        <v>0</v>
      </c>
      <c r="AF391" s="182"/>
      <c r="AG391" s="182"/>
      <c r="AH391" s="182"/>
      <c r="AI391" s="182">
        <f t="shared" si="1737"/>
        <v>0</v>
      </c>
      <c r="AJ391" s="182"/>
      <c r="AK391" s="182"/>
      <c r="AL391" s="182"/>
      <c r="AM391" s="182"/>
      <c r="AN391" s="184"/>
      <c r="AO391" s="182">
        <f t="shared" si="1738"/>
        <v>0</v>
      </c>
      <c r="AP391" s="182"/>
      <c r="AQ391" s="183">
        <f t="shared" si="1739"/>
        <v>0</v>
      </c>
      <c r="AR391" s="182"/>
      <c r="AS391" s="182">
        <f t="shared" ref="AS391:AS396" si="1775">(AR391*$E391*$F391*$G391*$L391*$AS$12)/12*10+(AR391*$E391*$F391*$G391*$L391*$AS$13)/12*1+(AR391*$E391*$F391*$G391*$L391*$AS$14)/12*1</f>
        <v>0</v>
      </c>
      <c r="AT391" s="182">
        <f>30</f>
        <v>30</v>
      </c>
      <c r="AU391" s="182">
        <f t="shared" si="1740"/>
        <v>1825047.5929436518</v>
      </c>
      <c r="AV391" s="188"/>
      <c r="AW391" s="182">
        <f t="shared" si="1741"/>
        <v>0</v>
      </c>
      <c r="AX391" s="182"/>
      <c r="AY391" s="187">
        <f t="shared" si="1742"/>
        <v>0</v>
      </c>
      <c r="AZ391" s="182"/>
      <c r="BA391" s="182">
        <f t="shared" si="1743"/>
        <v>0</v>
      </c>
      <c r="BB391" s="182">
        <v>0</v>
      </c>
      <c r="BC391" s="182">
        <f t="shared" si="1744"/>
        <v>0</v>
      </c>
      <c r="BD391" s="182"/>
      <c r="BE391" s="182">
        <f t="shared" si="1745"/>
        <v>0</v>
      </c>
      <c r="BF391" s="182"/>
      <c r="BG391" s="182">
        <f t="shared" si="1746"/>
        <v>0</v>
      </c>
      <c r="BH391" s="182"/>
      <c r="BI391" s="183">
        <f t="shared" si="1747"/>
        <v>0</v>
      </c>
      <c r="BJ391" s="182"/>
      <c r="BK391" s="183">
        <f t="shared" si="1748"/>
        <v>0</v>
      </c>
      <c r="BL391" s="182">
        <v>5</v>
      </c>
      <c r="BM391" s="182">
        <f t="shared" si="1749"/>
        <v>307033.73747354001</v>
      </c>
      <c r="BN391" s="182">
        <v>41</v>
      </c>
      <c r="BO391" s="182">
        <f t="shared" si="1750"/>
        <v>2380819.2223199997</v>
      </c>
      <c r="BP391" s="182"/>
      <c r="BQ391" s="182">
        <f t="shared" si="1751"/>
        <v>0</v>
      </c>
      <c r="BR391" s="182"/>
      <c r="BS391" s="183">
        <f t="shared" si="1752"/>
        <v>0</v>
      </c>
      <c r="BT391" s="182">
        <v>6</v>
      </c>
      <c r="BU391" s="182">
        <f t="shared" si="1753"/>
        <v>352847.33322706551</v>
      </c>
      <c r="BV391" s="182">
        <v>2</v>
      </c>
      <c r="BW391" s="182">
        <f t="shared" si="1754"/>
        <v>95021.609759999992</v>
      </c>
      <c r="BX391" s="182">
        <v>4</v>
      </c>
      <c r="BY391" s="183">
        <f t="shared" si="1774"/>
        <v>284786.09922470397</v>
      </c>
      <c r="BZ391" s="182"/>
      <c r="CA391" s="187">
        <f t="shared" si="1756"/>
        <v>0</v>
      </c>
      <c r="CB391" s="182"/>
      <c r="CC391" s="182">
        <f t="shared" si="1757"/>
        <v>0</v>
      </c>
      <c r="CD391" s="182"/>
      <c r="CE391" s="182">
        <f t="shared" si="1758"/>
        <v>0</v>
      </c>
      <c r="CF391" s="182"/>
      <c r="CG391" s="182">
        <f t="shared" si="1759"/>
        <v>0</v>
      </c>
      <c r="CH391" s="182">
        <v>4</v>
      </c>
      <c r="CI391" s="182">
        <f t="shared" si="1760"/>
        <v>235323.12816196799</v>
      </c>
      <c r="CJ391" s="182"/>
      <c r="CK391" s="182"/>
      <c r="CL391" s="182"/>
      <c r="CM391" s="183">
        <f t="shared" si="1761"/>
        <v>0</v>
      </c>
      <c r="CN391" s="182"/>
      <c r="CO391" s="183">
        <f t="shared" si="1762"/>
        <v>0</v>
      </c>
      <c r="CP391" s="182">
        <v>10</v>
      </c>
      <c r="CQ391" s="182">
        <f t="shared" si="1763"/>
        <v>487566.43763519992</v>
      </c>
      <c r="CR391" s="182">
        <v>4</v>
      </c>
      <c r="CS391" s="182">
        <f t="shared" si="1764"/>
        <v>210959.99800670665</v>
      </c>
      <c r="CT391" s="182">
        <v>10</v>
      </c>
      <c r="CU391" s="182">
        <f t="shared" si="1765"/>
        <v>461818.22087939992</v>
      </c>
      <c r="CV391" s="182">
        <v>8</v>
      </c>
      <c r="CW391" s="182">
        <v>422318.24000000011</v>
      </c>
      <c r="CX391" s="182">
        <v>2</v>
      </c>
      <c r="CY391" s="182">
        <f t="shared" si="1766"/>
        <v>113940.41226321599</v>
      </c>
      <c r="CZ391" s="182"/>
      <c r="DA391" s="182">
        <v>0</v>
      </c>
      <c r="DB391" s="188"/>
      <c r="DC391" s="182">
        <f t="shared" si="1767"/>
        <v>0</v>
      </c>
      <c r="DD391" s="182"/>
      <c r="DE391" s="187"/>
      <c r="DF391" s="182"/>
      <c r="DG391" s="182">
        <f t="shared" si="1768"/>
        <v>0</v>
      </c>
      <c r="DH391" s="189">
        <f>ROUND(1*0.75,0)</f>
        <v>1</v>
      </c>
      <c r="DI391" s="182">
        <f>(DH391*$E391*$F391*$G391*$M391*$DI$12)</f>
        <v>52789.783199999998</v>
      </c>
      <c r="DJ391" s="182">
        <v>2</v>
      </c>
      <c r="DK391" s="182">
        <f t="shared" si="1770"/>
        <v>115049.17367635998</v>
      </c>
      <c r="DL391" s="182">
        <f>ROUND(1*0.75,0)</f>
        <v>1</v>
      </c>
      <c r="DM391" s="182">
        <f t="shared" si="1771"/>
        <v>70072.152699999991</v>
      </c>
      <c r="DN391" s="182">
        <f>ROUND(1*0.75,0)</f>
        <v>1</v>
      </c>
      <c r="DO391" s="190">
        <f t="shared" si="1772"/>
        <v>80755.799299999984</v>
      </c>
      <c r="DP391" s="187"/>
      <c r="DQ391" s="187"/>
      <c r="DR391" s="183">
        <f t="shared" si="1773"/>
        <v>246</v>
      </c>
      <c r="DS391" s="183">
        <f t="shared" si="1773"/>
        <v>13061071.919771813</v>
      </c>
      <c r="DT391" s="182">
        <v>257</v>
      </c>
      <c r="DU391" s="182">
        <v>13274074.753346667</v>
      </c>
      <c r="DV391" s="167">
        <f t="shared" si="1450"/>
        <v>-11</v>
      </c>
      <c r="DW391" s="167">
        <f t="shared" si="1450"/>
        <v>-213002.83357485384</v>
      </c>
    </row>
    <row r="392" spans="1:127" ht="15.75" customHeight="1" x14ac:dyDescent="0.25">
      <c r="A392" s="154"/>
      <c r="B392" s="176">
        <v>344</v>
      </c>
      <c r="C392" s="177" t="s">
        <v>855</v>
      </c>
      <c r="D392" s="210" t="s">
        <v>856</v>
      </c>
      <c r="E392" s="158">
        <v>25969</v>
      </c>
      <c r="F392" s="179">
        <v>2.0299999999999998</v>
      </c>
      <c r="G392" s="243">
        <v>0.9</v>
      </c>
      <c r="H392" s="242"/>
      <c r="I392" s="242"/>
      <c r="J392" s="242"/>
      <c r="K392" s="106"/>
      <c r="L392" s="180">
        <v>1.4</v>
      </c>
      <c r="M392" s="180">
        <v>1.68</v>
      </c>
      <c r="N392" s="180">
        <v>2.23</v>
      </c>
      <c r="O392" s="181">
        <v>2.57</v>
      </c>
      <c r="P392" s="182"/>
      <c r="Q392" s="182">
        <f t="shared" si="1731"/>
        <v>0</v>
      </c>
      <c r="R392" s="182">
        <v>96</v>
      </c>
      <c r="S392" s="182">
        <f t="shared" si="1732"/>
        <v>7014322.4659200003</v>
      </c>
      <c r="T392" s="182"/>
      <c r="U392" s="182">
        <f t="shared" si="1733"/>
        <v>0</v>
      </c>
      <c r="V392" s="182"/>
      <c r="W392" s="183">
        <f t="shared" si="1734"/>
        <v>0</v>
      </c>
      <c r="X392" s="183"/>
      <c r="Y392" s="183">
        <v>0</v>
      </c>
      <c r="Z392" s="183"/>
      <c r="AA392" s="183">
        <v>0</v>
      </c>
      <c r="AB392" s="182">
        <f t="shared" si="1735"/>
        <v>0</v>
      </c>
      <c r="AC392" s="182">
        <f t="shared" si="1735"/>
        <v>0</v>
      </c>
      <c r="AD392" s="182"/>
      <c r="AE392" s="182">
        <f t="shared" si="1736"/>
        <v>0</v>
      </c>
      <c r="AF392" s="182"/>
      <c r="AG392" s="182"/>
      <c r="AH392" s="182"/>
      <c r="AI392" s="182">
        <f t="shared" si="1737"/>
        <v>0</v>
      </c>
      <c r="AJ392" s="182"/>
      <c r="AK392" s="182"/>
      <c r="AL392" s="182"/>
      <c r="AM392" s="182"/>
      <c r="AN392" s="184"/>
      <c r="AO392" s="182">
        <f t="shared" si="1738"/>
        <v>0</v>
      </c>
      <c r="AP392" s="182"/>
      <c r="AQ392" s="183">
        <f t="shared" si="1739"/>
        <v>0</v>
      </c>
      <c r="AR392" s="182"/>
      <c r="AS392" s="182">
        <f t="shared" si="1775"/>
        <v>0</v>
      </c>
      <c r="AT392" s="182">
        <v>2</v>
      </c>
      <c r="AU392" s="182">
        <f t="shared" si="1740"/>
        <v>183711.40233102217</v>
      </c>
      <c r="AV392" s="188"/>
      <c r="AW392" s="182">
        <f t="shared" si="1741"/>
        <v>0</v>
      </c>
      <c r="AX392" s="182"/>
      <c r="AY392" s="187">
        <f t="shared" si="1742"/>
        <v>0</v>
      </c>
      <c r="AZ392" s="182"/>
      <c r="BA392" s="182">
        <f t="shared" si="1743"/>
        <v>0</v>
      </c>
      <c r="BB392" s="182">
        <v>0</v>
      </c>
      <c r="BC392" s="182">
        <f t="shared" si="1744"/>
        <v>0</v>
      </c>
      <c r="BD392" s="182"/>
      <c r="BE392" s="182">
        <f t="shared" si="1745"/>
        <v>0</v>
      </c>
      <c r="BF392" s="182"/>
      <c r="BG392" s="182">
        <f t="shared" si="1746"/>
        <v>0</v>
      </c>
      <c r="BH392" s="182"/>
      <c r="BI392" s="183">
        <f t="shared" si="1747"/>
        <v>0</v>
      </c>
      <c r="BJ392" s="182"/>
      <c r="BK392" s="183">
        <f t="shared" si="1748"/>
        <v>0</v>
      </c>
      <c r="BL392" s="182">
        <v>5</v>
      </c>
      <c r="BM392" s="182">
        <f t="shared" si="1749"/>
        <v>463595.568895998</v>
      </c>
      <c r="BN392" s="182">
        <v>6</v>
      </c>
      <c r="BO392" s="182">
        <f t="shared" si="1750"/>
        <v>526074.1849440001</v>
      </c>
      <c r="BP392" s="182"/>
      <c r="BQ392" s="182">
        <f t="shared" si="1751"/>
        <v>0</v>
      </c>
      <c r="BR392" s="182"/>
      <c r="BS392" s="183">
        <f t="shared" si="1752"/>
        <v>0</v>
      </c>
      <c r="BT392" s="182">
        <v>3</v>
      </c>
      <c r="BU392" s="182">
        <f t="shared" si="1753"/>
        <v>266385.15611811937</v>
      </c>
      <c r="BV392" s="182"/>
      <c r="BW392" s="182">
        <f t="shared" si="1754"/>
        <v>0</v>
      </c>
      <c r="BX392" s="182">
        <v>2</v>
      </c>
      <c r="BY392" s="183">
        <f t="shared" si="1774"/>
        <v>215001.73689402238</v>
      </c>
      <c r="BZ392" s="182"/>
      <c r="CA392" s="187">
        <f t="shared" si="1756"/>
        <v>0</v>
      </c>
      <c r="CB392" s="182"/>
      <c r="CC392" s="182">
        <f t="shared" si="1757"/>
        <v>0</v>
      </c>
      <c r="CD392" s="182"/>
      <c r="CE392" s="182">
        <f t="shared" si="1758"/>
        <v>0</v>
      </c>
      <c r="CF392" s="182"/>
      <c r="CG392" s="182">
        <f t="shared" si="1759"/>
        <v>0</v>
      </c>
      <c r="CH392" s="182">
        <v>2</v>
      </c>
      <c r="CI392" s="182">
        <f t="shared" si="1760"/>
        <v>177659.23766608079</v>
      </c>
      <c r="CJ392" s="182"/>
      <c r="CK392" s="182"/>
      <c r="CL392" s="182"/>
      <c r="CM392" s="183">
        <f t="shared" si="1761"/>
        <v>0</v>
      </c>
      <c r="CN392" s="182"/>
      <c r="CO392" s="183">
        <f t="shared" si="1762"/>
        <v>0</v>
      </c>
      <c r="CP392" s="182"/>
      <c r="CQ392" s="182">
        <f t="shared" ref="CQ392:CQ396" si="1776">(CP392*$E392*$F392*$G392*$L392*$CQ$12)</f>
        <v>0</v>
      </c>
      <c r="CR392" s="182"/>
      <c r="CS392" s="182">
        <f t="shared" si="1764"/>
        <v>0</v>
      </c>
      <c r="CT392" s="182"/>
      <c r="CU392" s="182">
        <f t="shared" si="1765"/>
        <v>0</v>
      </c>
      <c r="CV392" s="182">
        <v>3</v>
      </c>
      <c r="CW392" s="182">
        <v>247850.21000000002</v>
      </c>
      <c r="CX392" s="182">
        <v>1</v>
      </c>
      <c r="CY392" s="182">
        <f>(CX392/12*11*$E392*$F392*$G392*$M392*$CY$12)+(CX392/12*$E392*$F392*$G392*$M392*$CY$15*$CY$12)</f>
        <v>86020.30297722957</v>
      </c>
      <c r="CZ392" s="182"/>
      <c r="DA392" s="182">
        <v>0</v>
      </c>
      <c r="DB392" s="188"/>
      <c r="DC392" s="182">
        <f t="shared" si="1767"/>
        <v>0</v>
      </c>
      <c r="DD392" s="182"/>
      <c r="DE392" s="187"/>
      <c r="DF392" s="182"/>
      <c r="DG392" s="182">
        <f t="shared" si="1768"/>
        <v>0</v>
      </c>
      <c r="DH392" s="189">
        <f>ROUND(1*0.75,0)</f>
        <v>1</v>
      </c>
      <c r="DI392" s="182">
        <f>(DH392*$E392*$F392*$G392*$M392*$DI$12)</f>
        <v>79708.209839999996</v>
      </c>
      <c r="DJ392" s="182">
        <v>1</v>
      </c>
      <c r="DK392" s="182">
        <f t="shared" si="1770"/>
        <v>86857.372027565973</v>
      </c>
      <c r="DL392" s="182"/>
      <c r="DM392" s="182">
        <f t="shared" si="1771"/>
        <v>0</v>
      </c>
      <c r="DN392" s="182">
        <f>ROUND(1*0.75,0)</f>
        <v>1</v>
      </c>
      <c r="DO392" s="190">
        <f t="shared" si="1772"/>
        <v>121934.58290999998</v>
      </c>
      <c r="DP392" s="187"/>
      <c r="DQ392" s="187"/>
      <c r="DR392" s="183">
        <f t="shared" si="1773"/>
        <v>123</v>
      </c>
      <c r="DS392" s="183">
        <f t="shared" si="1773"/>
        <v>9469120.4305240419</v>
      </c>
      <c r="DT392" s="182">
        <v>125</v>
      </c>
      <c r="DU392" s="182">
        <v>9484418.5881140009</v>
      </c>
      <c r="DV392" s="167">
        <f t="shared" si="1450"/>
        <v>-2</v>
      </c>
      <c r="DW392" s="167">
        <f t="shared" si="1450"/>
        <v>-15298.157589958981</v>
      </c>
    </row>
    <row r="393" spans="1:127" ht="15.75" customHeight="1" x14ac:dyDescent="0.25">
      <c r="A393" s="154"/>
      <c r="B393" s="176">
        <v>345</v>
      </c>
      <c r="C393" s="177" t="s">
        <v>857</v>
      </c>
      <c r="D393" s="210" t="s">
        <v>858</v>
      </c>
      <c r="E393" s="158">
        <v>25969</v>
      </c>
      <c r="F393" s="179">
        <v>3.54</v>
      </c>
      <c r="G393" s="276">
        <v>0.8</v>
      </c>
      <c r="H393" s="277"/>
      <c r="I393" s="277"/>
      <c r="J393" s="277"/>
      <c r="K393" s="106"/>
      <c r="L393" s="180">
        <v>1.4</v>
      </c>
      <c r="M393" s="180">
        <v>1.68</v>
      </c>
      <c r="N393" s="180">
        <v>2.23</v>
      </c>
      <c r="O393" s="181">
        <v>2.57</v>
      </c>
      <c r="P393" s="182"/>
      <c r="Q393" s="182">
        <f t="shared" si="1731"/>
        <v>0</v>
      </c>
      <c r="R393" s="182">
        <v>48</v>
      </c>
      <c r="S393" s="182">
        <f t="shared" si="1732"/>
        <v>5436387.8553600013</v>
      </c>
      <c r="T393" s="182"/>
      <c r="U393" s="182">
        <f t="shared" si="1733"/>
        <v>0</v>
      </c>
      <c r="V393" s="182"/>
      <c r="W393" s="183">
        <f t="shared" si="1734"/>
        <v>0</v>
      </c>
      <c r="X393" s="183"/>
      <c r="Y393" s="183">
        <v>0</v>
      </c>
      <c r="Z393" s="183"/>
      <c r="AA393" s="183">
        <v>0</v>
      </c>
      <c r="AB393" s="182">
        <f t="shared" si="1735"/>
        <v>0</v>
      </c>
      <c r="AC393" s="182">
        <f t="shared" si="1735"/>
        <v>0</v>
      </c>
      <c r="AD393" s="182"/>
      <c r="AE393" s="182">
        <f t="shared" si="1736"/>
        <v>0</v>
      </c>
      <c r="AF393" s="182"/>
      <c r="AG393" s="182"/>
      <c r="AH393" s="182"/>
      <c r="AI393" s="182">
        <f t="shared" si="1737"/>
        <v>0</v>
      </c>
      <c r="AJ393" s="182"/>
      <c r="AK393" s="182"/>
      <c r="AL393" s="182"/>
      <c r="AM393" s="182"/>
      <c r="AN393" s="184"/>
      <c r="AO393" s="182">
        <f t="shared" si="1738"/>
        <v>0</v>
      </c>
      <c r="AP393" s="182">
        <v>2</v>
      </c>
      <c r="AQ393" s="183">
        <f t="shared" si="1739"/>
        <v>226516.16064000002</v>
      </c>
      <c r="AR393" s="182"/>
      <c r="AS393" s="182">
        <f t="shared" si="1775"/>
        <v>0</v>
      </c>
      <c r="AT393" s="182">
        <v>5</v>
      </c>
      <c r="AU393" s="182">
        <f t="shared" si="1740"/>
        <v>711919.39162760659</v>
      </c>
      <c r="AV393" s="188"/>
      <c r="AW393" s="182">
        <f t="shared" si="1741"/>
        <v>0</v>
      </c>
      <c r="AX393" s="182"/>
      <c r="AY393" s="187">
        <f t="shared" si="1742"/>
        <v>0</v>
      </c>
      <c r="AZ393" s="182"/>
      <c r="BA393" s="182">
        <f t="shared" si="1743"/>
        <v>0</v>
      </c>
      <c r="BB393" s="182"/>
      <c r="BC393" s="182">
        <f t="shared" si="1744"/>
        <v>0</v>
      </c>
      <c r="BD393" s="182"/>
      <c r="BE393" s="182">
        <f t="shared" si="1745"/>
        <v>0</v>
      </c>
      <c r="BF393" s="182"/>
      <c r="BG393" s="182">
        <f t="shared" si="1746"/>
        <v>0</v>
      </c>
      <c r="BH393" s="182"/>
      <c r="BI393" s="183">
        <f t="shared" si="1747"/>
        <v>0</v>
      </c>
      <c r="BJ393" s="182"/>
      <c r="BK393" s="183">
        <f t="shared" si="1748"/>
        <v>0</v>
      </c>
      <c r="BL393" s="182">
        <v>3</v>
      </c>
      <c r="BM393" s="182">
        <f t="shared" si="1749"/>
        <v>431166.71629342076</v>
      </c>
      <c r="BN393" s="182">
        <v>15</v>
      </c>
      <c r="BO393" s="182">
        <f t="shared" si="1750"/>
        <v>2038645.4457599998</v>
      </c>
      <c r="BP393" s="182"/>
      <c r="BQ393" s="182">
        <f t="shared" si="1751"/>
        <v>0</v>
      </c>
      <c r="BR393" s="182"/>
      <c r="BS393" s="183">
        <f t="shared" si="1752"/>
        <v>0</v>
      </c>
      <c r="BT393" s="182"/>
      <c r="BU393" s="182">
        <f t="shared" ref="BU393:BU396" si="1777">(BT393*$E393*$F393*$G393*$M393*$BU$12)</f>
        <v>0</v>
      </c>
      <c r="BV393" s="182"/>
      <c r="BW393" s="182">
        <f t="shared" si="1754"/>
        <v>0</v>
      </c>
      <c r="BX393" s="182"/>
      <c r="BY393" s="183">
        <f t="shared" si="1774"/>
        <v>0</v>
      </c>
      <c r="BZ393" s="182"/>
      <c r="CA393" s="187">
        <f t="shared" si="1756"/>
        <v>0</v>
      </c>
      <c r="CB393" s="182"/>
      <c r="CC393" s="182">
        <f t="shared" si="1757"/>
        <v>0</v>
      </c>
      <c r="CD393" s="182"/>
      <c r="CE393" s="182">
        <f t="shared" si="1758"/>
        <v>0</v>
      </c>
      <c r="CF393" s="182"/>
      <c r="CG393" s="182">
        <f t="shared" si="1759"/>
        <v>0</v>
      </c>
      <c r="CH393" s="182"/>
      <c r="CI393" s="182">
        <f t="shared" si="1760"/>
        <v>0</v>
      </c>
      <c r="CJ393" s="182"/>
      <c r="CK393" s="182"/>
      <c r="CL393" s="182"/>
      <c r="CM393" s="183">
        <f t="shared" si="1761"/>
        <v>0</v>
      </c>
      <c r="CN393" s="182"/>
      <c r="CO393" s="183">
        <f t="shared" si="1762"/>
        <v>0</v>
      </c>
      <c r="CP393" s="182"/>
      <c r="CQ393" s="182">
        <f t="shared" si="1776"/>
        <v>0</v>
      </c>
      <c r="CR393" s="182">
        <v>4</v>
      </c>
      <c r="CS393" s="182">
        <f t="shared" si="1764"/>
        <v>493751.00359916798</v>
      </c>
      <c r="CT393" s="182">
        <v>8</v>
      </c>
      <c r="CU393" s="182">
        <f t="shared" si="1765"/>
        <v>864706.91010278405</v>
      </c>
      <c r="CV393" s="182">
        <v>6</v>
      </c>
      <c r="CW393" s="182">
        <v>710437.05</v>
      </c>
      <c r="CX393" s="182">
        <v>2</v>
      </c>
      <c r="CY393" s="182">
        <f t="shared" si="1766"/>
        <v>266677.06407390721</v>
      </c>
      <c r="CZ393" s="182"/>
      <c r="DA393" s="182">
        <v>0</v>
      </c>
      <c r="DB393" s="188"/>
      <c r="DC393" s="182">
        <f t="shared" si="1767"/>
        <v>0</v>
      </c>
      <c r="DD393" s="182"/>
      <c r="DE393" s="187"/>
      <c r="DF393" s="182"/>
      <c r="DG393" s="182">
        <f t="shared" si="1768"/>
        <v>0</v>
      </c>
      <c r="DH393" s="189"/>
      <c r="DI393" s="182">
        <f t="shared" si="1769"/>
        <v>0</v>
      </c>
      <c r="DJ393" s="182">
        <v>0</v>
      </c>
      <c r="DK393" s="182">
        <f t="shared" ref="DK393:DK396" si="1778">(DJ393*$E393*$F393*$G393*$M393*$DK$12)</f>
        <v>0</v>
      </c>
      <c r="DL393" s="182"/>
      <c r="DM393" s="182">
        <f t="shared" si="1771"/>
        <v>0</v>
      </c>
      <c r="DN393" s="182"/>
      <c r="DO393" s="190">
        <f t="shared" si="1772"/>
        <v>0</v>
      </c>
      <c r="DP393" s="187"/>
      <c r="DQ393" s="187"/>
      <c r="DR393" s="183">
        <f t="shared" si="1773"/>
        <v>93</v>
      </c>
      <c r="DS393" s="183">
        <f t="shared" si="1773"/>
        <v>11180207.597456889</v>
      </c>
      <c r="DT393" s="182">
        <v>104</v>
      </c>
      <c r="DU393" s="182">
        <v>12209564.265520001</v>
      </c>
      <c r="DV393" s="167">
        <f t="shared" si="1450"/>
        <v>-11</v>
      </c>
      <c r="DW393" s="167">
        <f t="shared" si="1450"/>
        <v>-1029356.6680631116</v>
      </c>
    </row>
    <row r="394" spans="1:127" ht="15.75" customHeight="1" x14ac:dyDescent="0.25">
      <c r="A394" s="154"/>
      <c r="B394" s="176">
        <v>346</v>
      </c>
      <c r="C394" s="177" t="s">
        <v>859</v>
      </c>
      <c r="D394" s="210" t="s">
        <v>860</v>
      </c>
      <c r="E394" s="158">
        <v>25969</v>
      </c>
      <c r="F394" s="168">
        <v>5.2</v>
      </c>
      <c r="G394" s="276">
        <v>0.8</v>
      </c>
      <c r="H394" s="277"/>
      <c r="I394" s="277"/>
      <c r="J394" s="277"/>
      <c r="K394" s="106"/>
      <c r="L394" s="180">
        <v>1.4</v>
      </c>
      <c r="M394" s="180">
        <v>1.68</v>
      </c>
      <c r="N394" s="180">
        <v>2.23</v>
      </c>
      <c r="O394" s="181">
        <v>2.57</v>
      </c>
      <c r="P394" s="182"/>
      <c r="Q394" s="182">
        <f t="shared" si="1731"/>
        <v>0</v>
      </c>
      <c r="R394" s="182">
        <v>36</v>
      </c>
      <c r="S394" s="182">
        <f t="shared" si="1732"/>
        <v>5989240.8575999998</v>
      </c>
      <c r="T394" s="182"/>
      <c r="U394" s="182">
        <f t="shared" si="1733"/>
        <v>0</v>
      </c>
      <c r="V394" s="182"/>
      <c r="W394" s="183">
        <f t="shared" si="1734"/>
        <v>0</v>
      </c>
      <c r="X394" s="183">
        <v>2</v>
      </c>
      <c r="Y394" s="183">
        <v>423481.67680000007</v>
      </c>
      <c r="Z394" s="183"/>
      <c r="AA394" s="183">
        <v>0</v>
      </c>
      <c r="AB394" s="182">
        <f t="shared" si="1735"/>
        <v>2</v>
      </c>
      <c r="AC394" s="182">
        <f t="shared" si="1735"/>
        <v>423481.67680000007</v>
      </c>
      <c r="AD394" s="182"/>
      <c r="AE394" s="182">
        <f t="shared" si="1736"/>
        <v>0</v>
      </c>
      <c r="AF394" s="182"/>
      <c r="AG394" s="182"/>
      <c r="AH394" s="182"/>
      <c r="AI394" s="182">
        <f t="shared" si="1737"/>
        <v>0</v>
      </c>
      <c r="AJ394" s="182"/>
      <c r="AK394" s="182"/>
      <c r="AL394" s="182"/>
      <c r="AM394" s="182"/>
      <c r="AN394" s="184"/>
      <c r="AO394" s="182">
        <f t="shared" si="1738"/>
        <v>0</v>
      </c>
      <c r="AP394" s="182">
        <v>1</v>
      </c>
      <c r="AQ394" s="183">
        <f t="shared" si="1739"/>
        <v>166367.80160000006</v>
      </c>
      <c r="AR394" s="182"/>
      <c r="AS394" s="182">
        <f t="shared" si="1775"/>
        <v>0</v>
      </c>
      <c r="AT394" s="182">
        <v>2</v>
      </c>
      <c r="AU394" s="182">
        <f t="shared" si="1740"/>
        <v>418302.91937441292</v>
      </c>
      <c r="AV394" s="188"/>
      <c r="AW394" s="182">
        <f t="shared" si="1741"/>
        <v>0</v>
      </c>
      <c r="AX394" s="182"/>
      <c r="AY394" s="187">
        <f t="shared" si="1742"/>
        <v>0</v>
      </c>
      <c r="AZ394" s="182"/>
      <c r="BA394" s="182">
        <f t="shared" si="1743"/>
        <v>0</v>
      </c>
      <c r="BB394" s="182"/>
      <c r="BC394" s="182">
        <f t="shared" si="1744"/>
        <v>0</v>
      </c>
      <c r="BD394" s="182"/>
      <c r="BE394" s="182">
        <f t="shared" si="1745"/>
        <v>0</v>
      </c>
      <c r="BF394" s="182"/>
      <c r="BG394" s="182">
        <f t="shared" si="1746"/>
        <v>0</v>
      </c>
      <c r="BH394" s="182"/>
      <c r="BI394" s="183">
        <f t="shared" si="1747"/>
        <v>0</v>
      </c>
      <c r="BJ394" s="182"/>
      <c r="BK394" s="183">
        <f t="shared" si="1748"/>
        <v>0</v>
      </c>
      <c r="BL394" s="182"/>
      <c r="BM394" s="182">
        <f t="shared" ref="BM394:BM396" si="1779">(BL394*$E394*$F394*$G394*$L394*$BM$12)</f>
        <v>0</v>
      </c>
      <c r="BN394" s="182">
        <v>3</v>
      </c>
      <c r="BO394" s="182">
        <f t="shared" si="1750"/>
        <v>598924.08576000005</v>
      </c>
      <c r="BP394" s="182"/>
      <c r="BQ394" s="182">
        <f t="shared" si="1751"/>
        <v>0</v>
      </c>
      <c r="BR394" s="182"/>
      <c r="BS394" s="183">
        <f t="shared" si="1752"/>
        <v>0</v>
      </c>
      <c r="BT394" s="182"/>
      <c r="BU394" s="182">
        <f t="shared" si="1777"/>
        <v>0</v>
      </c>
      <c r="BV394" s="182"/>
      <c r="BW394" s="182">
        <f t="shared" si="1754"/>
        <v>0</v>
      </c>
      <c r="BX394" s="182"/>
      <c r="BY394" s="183">
        <f t="shared" si="1755"/>
        <v>0</v>
      </c>
      <c r="BZ394" s="182"/>
      <c r="CA394" s="187">
        <f t="shared" si="1756"/>
        <v>0</v>
      </c>
      <c r="CB394" s="182"/>
      <c r="CC394" s="182">
        <f t="shared" si="1757"/>
        <v>0</v>
      </c>
      <c r="CD394" s="182"/>
      <c r="CE394" s="182">
        <f t="shared" si="1758"/>
        <v>0</v>
      </c>
      <c r="CF394" s="182"/>
      <c r="CG394" s="182">
        <f t="shared" si="1759"/>
        <v>0</v>
      </c>
      <c r="CH394" s="182">
        <v>1</v>
      </c>
      <c r="CI394" s="182">
        <f t="shared" si="1760"/>
        <v>202261.20106483204</v>
      </c>
      <c r="CJ394" s="182"/>
      <c r="CK394" s="182"/>
      <c r="CL394" s="182"/>
      <c r="CM394" s="183">
        <f t="shared" si="1761"/>
        <v>0</v>
      </c>
      <c r="CN394" s="182"/>
      <c r="CO394" s="183">
        <f t="shared" si="1762"/>
        <v>0</v>
      </c>
      <c r="CP394" s="182"/>
      <c r="CQ394" s="182">
        <f t="shared" si="1776"/>
        <v>0</v>
      </c>
      <c r="CR394" s="182">
        <v>1</v>
      </c>
      <c r="CS394" s="182">
        <f t="shared" si="1764"/>
        <v>181320.99002229338</v>
      </c>
      <c r="CT394" s="182"/>
      <c r="CU394" s="182">
        <f t="shared" ref="CU394:CU396" si="1780">(CT394*$E394*$F394*$G394*$L394*$CU$12)</f>
        <v>0</v>
      </c>
      <c r="CV394" s="182">
        <v>2</v>
      </c>
      <c r="CW394" s="182">
        <v>362984.3</v>
      </c>
      <c r="CX394" s="182">
        <v>2</v>
      </c>
      <c r="CY394" s="182">
        <f t="shared" si="1766"/>
        <v>391729.02067353594</v>
      </c>
      <c r="CZ394" s="182"/>
      <c r="DA394" s="182">
        <v>0</v>
      </c>
      <c r="DB394" s="188">
        <v>1</v>
      </c>
      <c r="DC394" s="182">
        <f t="shared" si="1767"/>
        <v>163342.93248000005</v>
      </c>
      <c r="DD394" s="182"/>
      <c r="DE394" s="187"/>
      <c r="DF394" s="182"/>
      <c r="DG394" s="182">
        <f t="shared" si="1768"/>
        <v>0</v>
      </c>
      <c r="DH394" s="189"/>
      <c r="DI394" s="182">
        <f t="shared" si="1769"/>
        <v>0</v>
      </c>
      <c r="DJ394" s="182">
        <v>0</v>
      </c>
      <c r="DK394" s="182">
        <f t="shared" si="1778"/>
        <v>0</v>
      </c>
      <c r="DL394" s="182"/>
      <c r="DM394" s="182">
        <f t="shared" si="1771"/>
        <v>0</v>
      </c>
      <c r="DN394" s="182"/>
      <c r="DO394" s="190">
        <f t="shared" si="1772"/>
        <v>0</v>
      </c>
      <c r="DP394" s="187"/>
      <c r="DQ394" s="187"/>
      <c r="DR394" s="183">
        <f t="shared" si="1773"/>
        <v>51</v>
      </c>
      <c r="DS394" s="183">
        <f t="shared" si="1773"/>
        <v>8897955.7853750754</v>
      </c>
      <c r="DT394" s="182">
        <v>59</v>
      </c>
      <c r="DU394" s="182">
        <v>10144402.744373336</v>
      </c>
      <c r="DV394" s="167">
        <f t="shared" si="1450"/>
        <v>-8</v>
      </c>
      <c r="DW394" s="167">
        <f t="shared" si="1450"/>
        <v>-1246446.958998261</v>
      </c>
    </row>
    <row r="395" spans="1:127" ht="15.75" customHeight="1" x14ac:dyDescent="0.25">
      <c r="A395" s="154"/>
      <c r="B395" s="176">
        <v>347</v>
      </c>
      <c r="C395" s="177" t="s">
        <v>861</v>
      </c>
      <c r="D395" s="210" t="s">
        <v>862</v>
      </c>
      <c r="E395" s="158">
        <v>25969</v>
      </c>
      <c r="F395" s="179">
        <v>11.11</v>
      </c>
      <c r="G395" s="276">
        <v>0.8</v>
      </c>
      <c r="H395" s="277"/>
      <c r="I395" s="277"/>
      <c r="J395" s="277"/>
      <c r="K395" s="106"/>
      <c r="L395" s="180">
        <v>1.4</v>
      </c>
      <c r="M395" s="180">
        <v>1.68</v>
      </c>
      <c r="N395" s="180">
        <v>2.23</v>
      </c>
      <c r="O395" s="181">
        <v>2.57</v>
      </c>
      <c r="P395" s="182"/>
      <c r="Q395" s="182">
        <f t="shared" si="1731"/>
        <v>0</v>
      </c>
      <c r="R395" s="182">
        <v>13</v>
      </c>
      <c r="S395" s="182">
        <f t="shared" si="1732"/>
        <v>4620865.6894399999</v>
      </c>
      <c r="T395" s="182"/>
      <c r="U395" s="182">
        <f t="shared" si="1733"/>
        <v>0</v>
      </c>
      <c r="V395" s="182"/>
      <c r="W395" s="183">
        <f t="shared" si="1734"/>
        <v>0</v>
      </c>
      <c r="X395" s="183"/>
      <c r="Y395" s="183">
        <v>0</v>
      </c>
      <c r="Z395" s="183"/>
      <c r="AA395" s="183">
        <v>0</v>
      </c>
      <c r="AB395" s="182">
        <f t="shared" si="1735"/>
        <v>0</v>
      </c>
      <c r="AC395" s="182">
        <f t="shared" si="1735"/>
        <v>0</v>
      </c>
      <c r="AD395" s="182"/>
      <c r="AE395" s="182">
        <f t="shared" si="1736"/>
        <v>0</v>
      </c>
      <c r="AF395" s="182"/>
      <c r="AG395" s="182"/>
      <c r="AH395" s="182"/>
      <c r="AI395" s="182">
        <f t="shared" si="1737"/>
        <v>0</v>
      </c>
      <c r="AJ395" s="182"/>
      <c r="AK395" s="182"/>
      <c r="AL395" s="182"/>
      <c r="AM395" s="182"/>
      <c r="AN395" s="184"/>
      <c r="AO395" s="182">
        <f t="shared" si="1738"/>
        <v>0</v>
      </c>
      <c r="AP395" s="182">
        <v>1</v>
      </c>
      <c r="AQ395" s="183">
        <f t="shared" si="1739"/>
        <v>355451.20687999995</v>
      </c>
      <c r="AR395" s="182"/>
      <c r="AS395" s="182">
        <f t="shared" si="1775"/>
        <v>0</v>
      </c>
      <c r="AT395" s="182"/>
      <c r="AU395" s="182">
        <f t="shared" ref="AU395" si="1781">(AT395*$E395*$F395*$G395*$M395*$AU$12)/12*10+(AT395*$E395*$F395*$G395*$M395*$AU$13)/12*2</f>
        <v>0</v>
      </c>
      <c r="AV395" s="188"/>
      <c r="AW395" s="182">
        <f t="shared" si="1741"/>
        <v>0</v>
      </c>
      <c r="AX395" s="182"/>
      <c r="AY395" s="187">
        <f t="shared" si="1742"/>
        <v>0</v>
      </c>
      <c r="AZ395" s="182"/>
      <c r="BA395" s="182">
        <f t="shared" si="1743"/>
        <v>0</v>
      </c>
      <c r="BB395" s="182"/>
      <c r="BC395" s="182">
        <f t="shared" si="1744"/>
        <v>0</v>
      </c>
      <c r="BD395" s="182"/>
      <c r="BE395" s="182">
        <f t="shared" si="1745"/>
        <v>0</v>
      </c>
      <c r="BF395" s="182"/>
      <c r="BG395" s="182">
        <f t="shared" si="1746"/>
        <v>0</v>
      </c>
      <c r="BH395" s="182"/>
      <c r="BI395" s="183">
        <f t="shared" si="1747"/>
        <v>0</v>
      </c>
      <c r="BJ395" s="182"/>
      <c r="BK395" s="183">
        <f t="shared" si="1748"/>
        <v>0</v>
      </c>
      <c r="BL395" s="182"/>
      <c r="BM395" s="182">
        <f t="shared" si="1779"/>
        <v>0</v>
      </c>
      <c r="BN395" s="182">
        <v>3</v>
      </c>
      <c r="BO395" s="182">
        <f t="shared" si="1750"/>
        <v>1279624.3447680001</v>
      </c>
      <c r="BP395" s="182"/>
      <c r="BQ395" s="182">
        <f t="shared" si="1751"/>
        <v>0</v>
      </c>
      <c r="BR395" s="182"/>
      <c r="BS395" s="183">
        <f t="shared" si="1752"/>
        <v>0</v>
      </c>
      <c r="BT395" s="182"/>
      <c r="BU395" s="182">
        <f t="shared" si="1777"/>
        <v>0</v>
      </c>
      <c r="BV395" s="182"/>
      <c r="BW395" s="182">
        <f t="shared" si="1754"/>
        <v>0</v>
      </c>
      <c r="BX395" s="182"/>
      <c r="BY395" s="183">
        <f t="shared" si="1755"/>
        <v>0</v>
      </c>
      <c r="BZ395" s="182">
        <v>3</v>
      </c>
      <c r="CA395" s="187">
        <f t="shared" si="1756"/>
        <v>1520339.1334417439</v>
      </c>
      <c r="CB395" s="182"/>
      <c r="CC395" s="182">
        <f t="shared" si="1757"/>
        <v>0</v>
      </c>
      <c r="CD395" s="182"/>
      <c r="CE395" s="182">
        <f t="shared" si="1758"/>
        <v>0</v>
      </c>
      <c r="CF395" s="182"/>
      <c r="CG395" s="182">
        <f t="shared" si="1759"/>
        <v>0</v>
      </c>
      <c r="CH395" s="182"/>
      <c r="CI395" s="182">
        <f t="shared" ref="CI395:CI396" si="1782">(CH395*$E395*$F395*$G395*$M395*$CI$12)</f>
        <v>0</v>
      </c>
      <c r="CJ395" s="182"/>
      <c r="CK395" s="182"/>
      <c r="CL395" s="182"/>
      <c r="CM395" s="183">
        <f t="shared" si="1761"/>
        <v>0</v>
      </c>
      <c r="CN395" s="182"/>
      <c r="CO395" s="183">
        <f t="shared" si="1762"/>
        <v>0</v>
      </c>
      <c r="CP395" s="182"/>
      <c r="CQ395" s="182">
        <f t="shared" si="1776"/>
        <v>0</v>
      </c>
      <c r="CR395" s="182"/>
      <c r="CS395" s="182">
        <f t="shared" ref="CS395:CS396" si="1783">(CR395*$E395*$F395*$G395*$L395*$CS$12)/12*10+(CR395*$E395*$F395*$G395*$L395*$CS$13)/12*2</f>
        <v>0</v>
      </c>
      <c r="CT395" s="182"/>
      <c r="CU395" s="182">
        <f t="shared" si="1780"/>
        <v>0</v>
      </c>
      <c r="CV395" s="182">
        <v>1</v>
      </c>
      <c r="CW395" s="182">
        <v>198245.27</v>
      </c>
      <c r="CX395" s="182">
        <v>1</v>
      </c>
      <c r="CY395" s="182">
        <f t="shared" si="1766"/>
        <v>418472.05958490237</v>
      </c>
      <c r="CZ395" s="182"/>
      <c r="DA395" s="182">
        <v>0</v>
      </c>
      <c r="DB395" s="188"/>
      <c r="DC395" s="182">
        <f t="shared" si="1767"/>
        <v>0</v>
      </c>
      <c r="DD395" s="182"/>
      <c r="DE395" s="187"/>
      <c r="DF395" s="182"/>
      <c r="DG395" s="182">
        <f t="shared" si="1768"/>
        <v>0</v>
      </c>
      <c r="DH395" s="189"/>
      <c r="DI395" s="182">
        <f t="shared" si="1769"/>
        <v>0</v>
      </c>
      <c r="DJ395" s="182">
        <v>0</v>
      </c>
      <c r="DK395" s="182">
        <f t="shared" si="1778"/>
        <v>0</v>
      </c>
      <c r="DL395" s="182"/>
      <c r="DM395" s="182">
        <f t="shared" si="1771"/>
        <v>0</v>
      </c>
      <c r="DN395" s="182"/>
      <c r="DO395" s="190">
        <f t="shared" si="1772"/>
        <v>0</v>
      </c>
      <c r="DP395" s="187"/>
      <c r="DQ395" s="187"/>
      <c r="DR395" s="183">
        <f t="shared" si="1773"/>
        <v>22</v>
      </c>
      <c r="DS395" s="183">
        <f t="shared" si="1773"/>
        <v>8392997.7041146457</v>
      </c>
      <c r="DT395" s="182">
        <v>17</v>
      </c>
      <c r="DU395" s="182">
        <v>6460649.2603040002</v>
      </c>
      <c r="DV395" s="167">
        <f t="shared" si="1450"/>
        <v>5</v>
      </c>
      <c r="DW395" s="167">
        <f t="shared" si="1450"/>
        <v>1932348.4438106455</v>
      </c>
    </row>
    <row r="396" spans="1:127" ht="30" customHeight="1" x14ac:dyDescent="0.25">
      <c r="A396" s="154"/>
      <c r="B396" s="176">
        <v>348</v>
      </c>
      <c r="C396" s="177" t="s">
        <v>863</v>
      </c>
      <c r="D396" s="210" t="s">
        <v>864</v>
      </c>
      <c r="E396" s="158">
        <v>25969</v>
      </c>
      <c r="F396" s="201">
        <v>14.07</v>
      </c>
      <c r="G396" s="168">
        <v>1</v>
      </c>
      <c r="H396" s="169"/>
      <c r="I396" s="169"/>
      <c r="J396" s="169"/>
      <c r="K396" s="106"/>
      <c r="L396" s="180">
        <v>1.4</v>
      </c>
      <c r="M396" s="180">
        <v>1.68</v>
      </c>
      <c r="N396" s="180">
        <v>2.23</v>
      </c>
      <c r="O396" s="181">
        <v>2.57</v>
      </c>
      <c r="P396" s="182"/>
      <c r="Q396" s="182">
        <f t="shared" si="1731"/>
        <v>0</v>
      </c>
      <c r="R396" s="182">
        <v>9</v>
      </c>
      <c r="S396" s="182">
        <f t="shared" si="1732"/>
        <v>5064219.8838000009</v>
      </c>
      <c r="T396" s="182"/>
      <c r="U396" s="182">
        <f t="shared" si="1733"/>
        <v>0</v>
      </c>
      <c r="V396" s="182"/>
      <c r="W396" s="183">
        <f t="shared" si="1734"/>
        <v>0</v>
      </c>
      <c r="X396" s="183"/>
      <c r="Y396" s="183">
        <v>0</v>
      </c>
      <c r="Z396" s="183"/>
      <c r="AA396" s="183">
        <v>0</v>
      </c>
      <c r="AB396" s="182">
        <f t="shared" si="1735"/>
        <v>0</v>
      </c>
      <c r="AC396" s="182">
        <f t="shared" si="1735"/>
        <v>0</v>
      </c>
      <c r="AD396" s="182"/>
      <c r="AE396" s="182">
        <f t="shared" si="1736"/>
        <v>0</v>
      </c>
      <c r="AF396" s="182"/>
      <c r="AG396" s="182"/>
      <c r="AH396" s="182"/>
      <c r="AI396" s="182">
        <f t="shared" si="1737"/>
        <v>0</v>
      </c>
      <c r="AJ396" s="182"/>
      <c r="AK396" s="182"/>
      <c r="AL396" s="182"/>
      <c r="AM396" s="182"/>
      <c r="AN396" s="184"/>
      <c r="AO396" s="182">
        <f t="shared" si="1738"/>
        <v>0</v>
      </c>
      <c r="AP396" s="182"/>
      <c r="AQ396" s="183">
        <f t="shared" si="1739"/>
        <v>0</v>
      </c>
      <c r="AR396" s="182"/>
      <c r="AS396" s="182">
        <f t="shared" si="1775"/>
        <v>0</v>
      </c>
      <c r="AT396" s="182"/>
      <c r="AU396" s="182">
        <f t="shared" ref="AU396" si="1784">(AT396*$E396*$F396*$G396*$M396*$AU$12)</f>
        <v>0</v>
      </c>
      <c r="AV396" s="188"/>
      <c r="AW396" s="182">
        <f t="shared" si="1741"/>
        <v>0</v>
      </c>
      <c r="AX396" s="182"/>
      <c r="AY396" s="187">
        <f t="shared" si="1742"/>
        <v>0</v>
      </c>
      <c r="AZ396" s="182"/>
      <c r="BA396" s="182">
        <f t="shared" si="1743"/>
        <v>0</v>
      </c>
      <c r="BB396" s="182"/>
      <c r="BC396" s="182">
        <f t="shared" si="1744"/>
        <v>0</v>
      </c>
      <c r="BD396" s="182"/>
      <c r="BE396" s="182">
        <f t="shared" si="1745"/>
        <v>0</v>
      </c>
      <c r="BF396" s="182"/>
      <c r="BG396" s="182">
        <f t="shared" si="1746"/>
        <v>0</v>
      </c>
      <c r="BH396" s="182"/>
      <c r="BI396" s="183">
        <f t="shared" si="1747"/>
        <v>0</v>
      </c>
      <c r="BJ396" s="182"/>
      <c r="BK396" s="183">
        <f t="shared" si="1748"/>
        <v>0</v>
      </c>
      <c r="BL396" s="182"/>
      <c r="BM396" s="182">
        <f t="shared" si="1779"/>
        <v>0</v>
      </c>
      <c r="BN396" s="182"/>
      <c r="BO396" s="182">
        <f t="shared" si="1750"/>
        <v>0</v>
      </c>
      <c r="BP396" s="182"/>
      <c r="BQ396" s="182">
        <f t="shared" si="1751"/>
        <v>0</v>
      </c>
      <c r="BR396" s="182"/>
      <c r="BS396" s="183">
        <f t="shared" si="1752"/>
        <v>0</v>
      </c>
      <c r="BT396" s="182"/>
      <c r="BU396" s="182">
        <f t="shared" si="1777"/>
        <v>0</v>
      </c>
      <c r="BV396" s="182"/>
      <c r="BW396" s="182">
        <f t="shared" si="1754"/>
        <v>0</v>
      </c>
      <c r="BX396" s="182"/>
      <c r="BY396" s="183">
        <f t="shared" si="1755"/>
        <v>0</v>
      </c>
      <c r="BZ396" s="182"/>
      <c r="CA396" s="187">
        <f t="shared" ref="CA396" si="1785">(BZ396*$E396*$F396*$G396*$M396*$CA$12)</f>
        <v>0</v>
      </c>
      <c r="CB396" s="182"/>
      <c r="CC396" s="182">
        <f t="shared" si="1757"/>
        <v>0</v>
      </c>
      <c r="CD396" s="182"/>
      <c r="CE396" s="182">
        <f t="shared" si="1758"/>
        <v>0</v>
      </c>
      <c r="CF396" s="182"/>
      <c r="CG396" s="182">
        <f t="shared" si="1759"/>
        <v>0</v>
      </c>
      <c r="CH396" s="182"/>
      <c r="CI396" s="182">
        <f t="shared" si="1782"/>
        <v>0</v>
      </c>
      <c r="CJ396" s="182"/>
      <c r="CK396" s="182"/>
      <c r="CL396" s="182"/>
      <c r="CM396" s="183">
        <f t="shared" si="1761"/>
        <v>0</v>
      </c>
      <c r="CN396" s="182"/>
      <c r="CO396" s="183">
        <f t="shared" si="1762"/>
        <v>0</v>
      </c>
      <c r="CP396" s="182"/>
      <c r="CQ396" s="182">
        <f t="shared" si="1776"/>
        <v>0</v>
      </c>
      <c r="CR396" s="182"/>
      <c r="CS396" s="182">
        <f t="shared" si="1783"/>
        <v>0</v>
      </c>
      <c r="CT396" s="182"/>
      <c r="CU396" s="182">
        <f t="shared" si="1780"/>
        <v>0</v>
      </c>
      <c r="CV396" s="182"/>
      <c r="CW396" s="182">
        <v>0</v>
      </c>
      <c r="CX396" s="182">
        <v>1</v>
      </c>
      <c r="CY396" s="182">
        <f t="shared" si="1766"/>
        <v>662455.20683613606</v>
      </c>
      <c r="CZ396" s="182"/>
      <c r="DA396" s="182">
        <v>0</v>
      </c>
      <c r="DB396" s="188"/>
      <c r="DC396" s="182">
        <f t="shared" si="1767"/>
        <v>0</v>
      </c>
      <c r="DD396" s="182"/>
      <c r="DE396" s="187"/>
      <c r="DF396" s="182"/>
      <c r="DG396" s="182">
        <f t="shared" si="1768"/>
        <v>0</v>
      </c>
      <c r="DH396" s="189"/>
      <c r="DI396" s="182">
        <f t="shared" si="1769"/>
        <v>0</v>
      </c>
      <c r="DJ396" s="182"/>
      <c r="DK396" s="182">
        <f t="shared" si="1778"/>
        <v>0</v>
      </c>
      <c r="DL396" s="182"/>
      <c r="DM396" s="182">
        <f t="shared" si="1771"/>
        <v>0</v>
      </c>
      <c r="DN396" s="182"/>
      <c r="DO396" s="190">
        <f t="shared" si="1772"/>
        <v>0</v>
      </c>
      <c r="DP396" s="187"/>
      <c r="DQ396" s="187"/>
      <c r="DR396" s="183">
        <f t="shared" si="1773"/>
        <v>10</v>
      </c>
      <c r="DS396" s="183">
        <f t="shared" si="1773"/>
        <v>5726675.0906361369</v>
      </c>
      <c r="DT396" s="182">
        <v>13</v>
      </c>
      <c r="DU396" s="182">
        <v>7366138.0127999997</v>
      </c>
      <c r="DV396" s="167">
        <f t="shared" si="1450"/>
        <v>-3</v>
      </c>
      <c r="DW396" s="167">
        <f t="shared" si="1450"/>
        <v>-1639462.9221638627</v>
      </c>
    </row>
    <row r="397" spans="1:127" ht="15.75" customHeight="1" x14ac:dyDescent="0.25">
      <c r="A397" s="170">
        <v>34</v>
      </c>
      <c r="B397" s="197"/>
      <c r="C397" s="198"/>
      <c r="D397" s="211" t="s">
        <v>865</v>
      </c>
      <c r="E397" s="158">
        <v>25969</v>
      </c>
      <c r="F397" s="199">
        <v>1.18</v>
      </c>
      <c r="G397" s="171"/>
      <c r="H397" s="169"/>
      <c r="I397" s="169"/>
      <c r="J397" s="169"/>
      <c r="K397" s="173"/>
      <c r="L397" s="174">
        <v>1.4</v>
      </c>
      <c r="M397" s="174">
        <v>1.68</v>
      </c>
      <c r="N397" s="174">
        <v>2.23</v>
      </c>
      <c r="O397" s="175">
        <v>2.57</v>
      </c>
      <c r="P397" s="166">
        <f t="shared" ref="P397:CA397" si="1786">SUM(P398:P402)</f>
        <v>529</v>
      </c>
      <c r="Q397" s="166">
        <f t="shared" si="1786"/>
        <v>21780984.5638</v>
      </c>
      <c r="R397" s="166">
        <f t="shared" si="1786"/>
        <v>0</v>
      </c>
      <c r="S397" s="166">
        <f t="shared" si="1786"/>
        <v>0</v>
      </c>
      <c r="T397" s="166">
        <f t="shared" si="1786"/>
        <v>0</v>
      </c>
      <c r="U397" s="166">
        <f t="shared" si="1786"/>
        <v>0</v>
      </c>
      <c r="V397" s="166">
        <f t="shared" si="1786"/>
        <v>0</v>
      </c>
      <c r="W397" s="166">
        <f t="shared" si="1786"/>
        <v>0</v>
      </c>
      <c r="X397" s="166">
        <v>0</v>
      </c>
      <c r="Y397" s="166">
        <v>0</v>
      </c>
      <c r="Z397" s="166">
        <v>0</v>
      </c>
      <c r="AA397" s="166">
        <v>0</v>
      </c>
      <c r="AB397" s="166">
        <f t="shared" si="1786"/>
        <v>0</v>
      </c>
      <c r="AC397" s="166">
        <f t="shared" si="1786"/>
        <v>0</v>
      </c>
      <c r="AD397" s="166">
        <f t="shared" si="1786"/>
        <v>0</v>
      </c>
      <c r="AE397" s="166">
        <f t="shared" si="1786"/>
        <v>0</v>
      </c>
      <c r="AF397" s="166">
        <f t="shared" si="1786"/>
        <v>0</v>
      </c>
      <c r="AG397" s="166">
        <f t="shared" si="1786"/>
        <v>0</v>
      </c>
      <c r="AH397" s="166">
        <f t="shared" si="1786"/>
        <v>0</v>
      </c>
      <c r="AI397" s="166">
        <f t="shared" si="1786"/>
        <v>0</v>
      </c>
      <c r="AJ397" s="166">
        <f>SUM(AJ398:AJ402)</f>
        <v>0</v>
      </c>
      <c r="AK397" s="166">
        <f>SUM(AK398:AK402)</f>
        <v>0</v>
      </c>
      <c r="AL397" s="166">
        <f t="shared" si="1786"/>
        <v>0</v>
      </c>
      <c r="AM397" s="166">
        <f t="shared" si="1786"/>
        <v>0</v>
      </c>
      <c r="AN397" s="166">
        <f t="shared" si="1786"/>
        <v>59</v>
      </c>
      <c r="AO397" s="166">
        <f t="shared" si="1786"/>
        <v>2218470.5862000007</v>
      </c>
      <c r="AP397" s="166">
        <f t="shared" si="1786"/>
        <v>3</v>
      </c>
      <c r="AQ397" s="166">
        <f t="shared" si="1786"/>
        <v>106779.3342</v>
      </c>
      <c r="AR397" s="166">
        <f t="shared" si="1786"/>
        <v>0</v>
      </c>
      <c r="AS397" s="166">
        <f t="shared" si="1786"/>
        <v>0</v>
      </c>
      <c r="AT397" s="166">
        <f t="shared" si="1786"/>
        <v>452</v>
      </c>
      <c r="AU397" s="166">
        <f t="shared" si="1786"/>
        <v>22310326.979855251</v>
      </c>
      <c r="AV397" s="166">
        <f t="shared" si="1786"/>
        <v>2</v>
      </c>
      <c r="AW397" s="166">
        <f t="shared" si="1786"/>
        <v>199117.82</v>
      </c>
      <c r="AX397" s="166">
        <f t="shared" si="1786"/>
        <v>0</v>
      </c>
      <c r="AY397" s="166">
        <f t="shared" si="1786"/>
        <v>0</v>
      </c>
      <c r="AZ397" s="166">
        <f t="shared" si="1786"/>
        <v>0</v>
      </c>
      <c r="BA397" s="166">
        <f t="shared" si="1786"/>
        <v>0</v>
      </c>
      <c r="BB397" s="166">
        <f t="shared" si="1786"/>
        <v>0</v>
      </c>
      <c r="BC397" s="166">
        <f t="shared" si="1786"/>
        <v>0</v>
      </c>
      <c r="BD397" s="166">
        <f t="shared" si="1786"/>
        <v>0</v>
      </c>
      <c r="BE397" s="166">
        <f t="shared" si="1786"/>
        <v>0</v>
      </c>
      <c r="BF397" s="166">
        <f t="shared" si="1786"/>
        <v>0</v>
      </c>
      <c r="BG397" s="166">
        <f t="shared" si="1786"/>
        <v>0</v>
      </c>
      <c r="BH397" s="166">
        <f t="shared" si="1786"/>
        <v>0</v>
      </c>
      <c r="BI397" s="166">
        <f t="shared" si="1786"/>
        <v>0</v>
      </c>
      <c r="BJ397" s="166">
        <f t="shared" si="1786"/>
        <v>0</v>
      </c>
      <c r="BK397" s="166">
        <f t="shared" si="1786"/>
        <v>0</v>
      </c>
      <c r="BL397" s="166">
        <f t="shared" si="1786"/>
        <v>0</v>
      </c>
      <c r="BM397" s="166">
        <f t="shared" si="1786"/>
        <v>0</v>
      </c>
      <c r="BN397" s="166">
        <f t="shared" si="1786"/>
        <v>0</v>
      </c>
      <c r="BO397" s="166">
        <f t="shared" si="1786"/>
        <v>0</v>
      </c>
      <c r="BP397" s="166">
        <f t="shared" si="1786"/>
        <v>0</v>
      </c>
      <c r="BQ397" s="166">
        <f t="shared" si="1786"/>
        <v>0</v>
      </c>
      <c r="BR397" s="166">
        <f t="shared" si="1786"/>
        <v>0</v>
      </c>
      <c r="BS397" s="166">
        <f t="shared" si="1786"/>
        <v>0</v>
      </c>
      <c r="BT397" s="166">
        <f t="shared" si="1786"/>
        <v>1</v>
      </c>
      <c r="BU397" s="166">
        <f t="shared" si="1786"/>
        <v>79220.544512412773</v>
      </c>
      <c r="BV397" s="166">
        <f t="shared" si="1786"/>
        <v>2</v>
      </c>
      <c r="BW397" s="166">
        <f t="shared" si="1786"/>
        <v>69891.927840000004</v>
      </c>
      <c r="BX397" s="166">
        <f t="shared" si="1786"/>
        <v>4</v>
      </c>
      <c r="BY397" s="166">
        <f t="shared" si="1786"/>
        <v>209470.76719833599</v>
      </c>
      <c r="BZ397" s="166">
        <f t="shared" si="1786"/>
        <v>8</v>
      </c>
      <c r="CA397" s="166">
        <f t="shared" si="1786"/>
        <v>405971.14574352</v>
      </c>
      <c r="CB397" s="166">
        <f t="shared" ref="CB397:DQ397" si="1787">SUM(CB398:CB402)</f>
        <v>0</v>
      </c>
      <c r="CC397" s="166">
        <f t="shared" si="1787"/>
        <v>0</v>
      </c>
      <c r="CD397" s="166">
        <f t="shared" si="1787"/>
        <v>0</v>
      </c>
      <c r="CE397" s="166">
        <f t="shared" si="1787"/>
        <v>0</v>
      </c>
      <c r="CF397" s="166">
        <f t="shared" si="1787"/>
        <v>0</v>
      </c>
      <c r="CG397" s="166">
        <f t="shared" si="1787"/>
        <v>0</v>
      </c>
      <c r="CH397" s="166">
        <f t="shared" si="1787"/>
        <v>0</v>
      </c>
      <c r="CI397" s="166">
        <f t="shared" si="1787"/>
        <v>0</v>
      </c>
      <c r="CJ397" s="166">
        <f t="shared" si="1787"/>
        <v>0</v>
      </c>
      <c r="CK397" s="166">
        <f t="shared" si="1787"/>
        <v>0</v>
      </c>
      <c r="CL397" s="166">
        <f t="shared" si="1787"/>
        <v>0</v>
      </c>
      <c r="CM397" s="166">
        <f t="shared" si="1787"/>
        <v>0</v>
      </c>
      <c r="CN397" s="166">
        <f t="shared" si="1787"/>
        <v>0</v>
      </c>
      <c r="CO397" s="166">
        <f t="shared" si="1787"/>
        <v>0</v>
      </c>
      <c r="CP397" s="166">
        <f t="shared" si="1787"/>
        <v>5</v>
      </c>
      <c r="CQ397" s="166">
        <f t="shared" si="1787"/>
        <v>179311.6237584</v>
      </c>
      <c r="CR397" s="166">
        <f t="shared" si="1787"/>
        <v>1</v>
      </c>
      <c r="CS397" s="166">
        <f t="shared" si="1787"/>
        <v>38792.231038423328</v>
      </c>
      <c r="CT397" s="166">
        <f t="shared" si="1787"/>
        <v>4</v>
      </c>
      <c r="CU397" s="166">
        <f t="shared" si="1787"/>
        <v>135873.79060583998</v>
      </c>
      <c r="CV397" s="166">
        <f t="shared" si="1787"/>
        <v>3</v>
      </c>
      <c r="CW397" s="166">
        <v>181928.43</v>
      </c>
      <c r="CX397" s="166">
        <f t="shared" si="1787"/>
        <v>60</v>
      </c>
      <c r="CY397" s="166">
        <f t="shared" si="1787"/>
        <v>2443598.0977111198</v>
      </c>
      <c r="CZ397" s="166">
        <f t="shared" si="1787"/>
        <v>0</v>
      </c>
      <c r="DA397" s="166">
        <v>0</v>
      </c>
      <c r="DB397" s="166">
        <f t="shared" si="1787"/>
        <v>0</v>
      </c>
      <c r="DC397" s="166">
        <f t="shared" si="1787"/>
        <v>0</v>
      </c>
      <c r="DD397" s="166">
        <f t="shared" si="1787"/>
        <v>0</v>
      </c>
      <c r="DE397" s="166">
        <f t="shared" si="1787"/>
        <v>0</v>
      </c>
      <c r="DF397" s="166">
        <f t="shared" si="1787"/>
        <v>0</v>
      </c>
      <c r="DG397" s="166">
        <f t="shared" si="1787"/>
        <v>0</v>
      </c>
      <c r="DH397" s="166">
        <f t="shared" si="1787"/>
        <v>1</v>
      </c>
      <c r="DI397" s="166">
        <f t="shared" si="1787"/>
        <v>38828.8488</v>
      </c>
      <c r="DJ397" s="166">
        <f t="shared" si="1787"/>
        <v>1</v>
      </c>
      <c r="DK397" s="166">
        <f t="shared" si="1787"/>
        <v>42311.472963619992</v>
      </c>
      <c r="DL397" s="166">
        <f t="shared" si="1787"/>
        <v>2</v>
      </c>
      <c r="DM397" s="166">
        <f t="shared" si="1787"/>
        <v>103081.3486</v>
      </c>
      <c r="DN397" s="166">
        <f t="shared" si="1787"/>
        <v>6</v>
      </c>
      <c r="DO397" s="166">
        <f t="shared" si="1787"/>
        <v>356393.36219999997</v>
      </c>
      <c r="DP397" s="166">
        <f t="shared" si="1787"/>
        <v>0</v>
      </c>
      <c r="DQ397" s="166">
        <f t="shared" si="1787"/>
        <v>0</v>
      </c>
      <c r="DR397" s="166">
        <f>SUM(DR398:DR402)</f>
        <v>1143</v>
      </c>
      <c r="DS397" s="166">
        <f t="shared" ref="DS397" si="1788">SUM(DS398:DS402)</f>
        <v>50900352.875026934</v>
      </c>
      <c r="DT397" s="166">
        <v>1145</v>
      </c>
      <c r="DU397" s="166">
        <v>50294859.341473334</v>
      </c>
      <c r="DV397" s="167">
        <f t="shared" si="1450"/>
        <v>-2</v>
      </c>
      <c r="DW397" s="167">
        <f t="shared" si="1450"/>
        <v>605493.53355360031</v>
      </c>
    </row>
    <row r="398" spans="1:127" ht="45" customHeight="1" x14ac:dyDescent="0.25">
      <c r="A398" s="154"/>
      <c r="B398" s="176">
        <v>349</v>
      </c>
      <c r="C398" s="177" t="s">
        <v>866</v>
      </c>
      <c r="D398" s="263" t="s">
        <v>867</v>
      </c>
      <c r="E398" s="158">
        <v>25969</v>
      </c>
      <c r="F398" s="179">
        <v>0.89</v>
      </c>
      <c r="G398" s="168">
        <v>1</v>
      </c>
      <c r="H398" s="169"/>
      <c r="I398" s="169"/>
      <c r="J398" s="169"/>
      <c r="K398" s="106"/>
      <c r="L398" s="180">
        <v>1.4</v>
      </c>
      <c r="M398" s="180">
        <v>1.68</v>
      </c>
      <c r="N398" s="180">
        <v>2.23</v>
      </c>
      <c r="O398" s="181">
        <v>2.57</v>
      </c>
      <c r="P398" s="182">
        <v>263</v>
      </c>
      <c r="Q398" s="182">
        <f>(P398*$E398*$F398*$G398*$L398*$Q$12)</f>
        <v>9360988.2982000001</v>
      </c>
      <c r="R398" s="182"/>
      <c r="S398" s="182">
        <f>(R398*$E398*$F398*$G398*$L398*$S$12)</f>
        <v>0</v>
      </c>
      <c r="T398" s="182"/>
      <c r="U398" s="182">
        <f t="shared" ref="U398:U402" si="1789">(T398/12*11*$E398*$F398*$G398*$L398*$U$12)+(T398/12*1*$E398*$F398*$G398*$L398*$U$14)</f>
        <v>0</v>
      </c>
      <c r="V398" s="182"/>
      <c r="W398" s="183">
        <f t="shared" ref="W398:W402" si="1790">(V398*$E398*$F398*$G398*$L398*$W$12)/12*10+(V398*$E398*$F398*$G398*$L398*$W$13)/12*1++(V398*$E398*$F398*$G398*$L398*$W$14)/12*1</f>
        <v>0</v>
      </c>
      <c r="X398" s="183"/>
      <c r="Y398" s="183">
        <v>0</v>
      </c>
      <c r="Z398" s="183"/>
      <c r="AA398" s="183">
        <v>0</v>
      </c>
      <c r="AB398" s="182">
        <f t="shared" ref="AB398:AC402" si="1791">X398+Z398</f>
        <v>0</v>
      </c>
      <c r="AC398" s="182">
        <f t="shared" si="1791"/>
        <v>0</v>
      </c>
      <c r="AD398" s="182"/>
      <c r="AE398" s="182">
        <f>(AD398*$E398*$F398*$G398*$L398*$AE$12)</f>
        <v>0</v>
      </c>
      <c r="AF398" s="182"/>
      <c r="AG398" s="182"/>
      <c r="AH398" s="182"/>
      <c r="AI398" s="182">
        <f>(AH398*$E398*$F398*$G398*$L398*$AI$12)</f>
        <v>0</v>
      </c>
      <c r="AJ398" s="182"/>
      <c r="AK398" s="182"/>
      <c r="AL398" s="182"/>
      <c r="AM398" s="182"/>
      <c r="AN398" s="182">
        <v>43</v>
      </c>
      <c r="AO398" s="182">
        <v>1503808.9000000008</v>
      </c>
      <c r="AP398" s="182">
        <v>3</v>
      </c>
      <c r="AQ398" s="183">
        <f>(AP398*$E398*$F398*$G398*$L398*$AQ$12)</f>
        <v>106779.3342</v>
      </c>
      <c r="AR398" s="182"/>
      <c r="AS398" s="182">
        <f t="shared" ref="AS398:AS402" si="1792">(AR398*$E398*$F398*$G398*$L398*$AS$12)/12*10+(AR398*$E398*$F398*$G398*$L398*$AS$13)/12*1+(AR398*$E398*$F398*$G398*$L398*$AS$14)/12*1</f>
        <v>0</v>
      </c>
      <c r="AT398" s="182">
        <v>350</v>
      </c>
      <c r="AU398" s="182">
        <f t="shared" ref="AU398:AU402" si="1793">(AT398*$E398*$F398*$G398*$M398*$AU$12)/12*10+(AT398*$E398*$F398*$G398*$M398*$AU$13)/12+(AT398*$E398*$F398*$G398*$M398*$AU$14*$AU$15)/12</f>
        <v>15661221.079943461</v>
      </c>
      <c r="AV398" s="188"/>
      <c r="AW398" s="182">
        <f>(AV398*$E398*$F398*$G398*$M398*$AW$12)</f>
        <v>0</v>
      </c>
      <c r="AX398" s="182"/>
      <c r="AY398" s="187">
        <f>(AX398*$E398*$F398*$G398*$M398*$AY$12)</f>
        <v>0</v>
      </c>
      <c r="AZ398" s="182"/>
      <c r="BA398" s="182">
        <f>(AZ398*$E398*$F398*$G398*$L398*$BA$12)</f>
        <v>0</v>
      </c>
      <c r="BB398" s="182"/>
      <c r="BC398" s="182">
        <f>(BB398*$E398*$F398*$G398*$L398*$BC$12)</f>
        <v>0</v>
      </c>
      <c r="BD398" s="182"/>
      <c r="BE398" s="182">
        <f>(BD398*$E398*$F398*$G398*$L398*$BE$12)</f>
        <v>0</v>
      </c>
      <c r="BF398" s="182"/>
      <c r="BG398" s="182">
        <f>(BF398*$E398*$F398*$G398*$L398*$BG$12)</f>
        <v>0</v>
      </c>
      <c r="BH398" s="182"/>
      <c r="BI398" s="183">
        <f>(BH398*$E398*$F398*$G398*$L398*$BI$12)</f>
        <v>0</v>
      </c>
      <c r="BJ398" s="182"/>
      <c r="BK398" s="183">
        <f>(BJ398*$E398*$F398*$G398*$L398*$BK$12)</f>
        <v>0</v>
      </c>
      <c r="BL398" s="182"/>
      <c r="BM398" s="182">
        <f>(BL398*$E398*$F398*$G398*$L398*$BM$12)</f>
        <v>0</v>
      </c>
      <c r="BN398" s="182"/>
      <c r="BO398" s="182">
        <f>(BN398*$E398*$F398*$G398*$M398*$BO$12)</f>
        <v>0</v>
      </c>
      <c r="BP398" s="182"/>
      <c r="BQ398" s="182">
        <f>(BP398*$E398*$F398*$G398*$M398*$BQ$12)</f>
        <v>0</v>
      </c>
      <c r="BR398" s="182"/>
      <c r="BS398" s="183">
        <f>(BR398*$E398*$F398*$G398*$M398*$BS$12)</f>
        <v>0</v>
      </c>
      <c r="BT398" s="182"/>
      <c r="BU398" s="182">
        <f>(BT398*$E398*$F398*$G398*$M398*$BU$12)</f>
        <v>0</v>
      </c>
      <c r="BV398" s="182">
        <v>2</v>
      </c>
      <c r="BW398" s="182">
        <f>(BV398*$E398*$F398*$G398*$M398*$BW$12)</f>
        <v>69891.927840000004</v>
      </c>
      <c r="BX398" s="182">
        <v>4</v>
      </c>
      <c r="BY398" s="183">
        <f t="shared" ref="BY398" si="1794">(BX398*$E398*$F398*$G398*$M398*$BY$12)/12*11+(BX398*$E398*$F398*$G398*$M398*$BY$12*$BY$15)/12</f>
        <v>209470.76719833599</v>
      </c>
      <c r="BZ398" s="182">
        <v>8</v>
      </c>
      <c r="CA398" s="187">
        <f t="shared" ref="CA398" si="1795">(BZ398*$E398*$F398*$G398*$M398*$CA$12)/12*11+(BZ398*$E398*$F398*$G398*$M398*$CA$12*$CA$15)/12</f>
        <v>405971.14574352</v>
      </c>
      <c r="CB398" s="182"/>
      <c r="CC398" s="182">
        <f>(CB398*$E398*$F398*$G398*$L398*$CC$12)</f>
        <v>0</v>
      </c>
      <c r="CD398" s="182"/>
      <c r="CE398" s="182">
        <f>(CD398*$E398*$F398*$G398*$L398*$CE$12)</f>
        <v>0</v>
      </c>
      <c r="CF398" s="182"/>
      <c r="CG398" s="182">
        <f>(CF398*$E398*$F398*$G398*$L398*$CG$12)</f>
        <v>0</v>
      </c>
      <c r="CH398" s="182"/>
      <c r="CI398" s="182">
        <f>(CH398*$E398*$F398*$G398*$M398*$CI$12)</f>
        <v>0</v>
      </c>
      <c r="CJ398" s="182"/>
      <c r="CK398" s="182"/>
      <c r="CL398" s="182"/>
      <c r="CM398" s="183">
        <f>(CL398*$E398*$F398*$G398*$L398*$CM$12)</f>
        <v>0</v>
      </c>
      <c r="CN398" s="182"/>
      <c r="CO398" s="183">
        <f>(CN398*$E398*$F398*$G398*$L398*$CO$12)</f>
        <v>0</v>
      </c>
      <c r="CP398" s="182">
        <v>5</v>
      </c>
      <c r="CQ398" s="182">
        <f>(CP398*$E398*$F398*$G398*$L398*$CQ$12)/12*11+(CP398*$E398*$F398*$G398*$L398*$CQ$12*$CQ$15)/12</f>
        <v>179311.6237584</v>
      </c>
      <c r="CR398" s="182">
        <v>1</v>
      </c>
      <c r="CS398" s="182">
        <f t="shared" ref="CS398" si="1796">(CR398*$E398*$F398*$G398*$L398*$CS$12)/12*10+(CR398*$E398*$F398*$G398*$L398*$CS$13)/12+(CR398*$E398*$F398*$G398*$L398*$CS$13*$CS$15)/12</f>
        <v>38792.231038423328</v>
      </c>
      <c r="CT398" s="182">
        <v>4</v>
      </c>
      <c r="CU398" s="182">
        <f t="shared" ref="CU398" si="1797">(CT398*$E398*$F398*$G398*$L398*$CU$12)/12*11+(CT398*$E398*$F398*$G398*$L398*$CU$12*$CU$15)/12</f>
        <v>135873.79060583998</v>
      </c>
      <c r="CV398" s="182"/>
      <c r="CW398" s="182">
        <v>0</v>
      </c>
      <c r="CX398" s="182">
        <v>50</v>
      </c>
      <c r="CY398" s="182">
        <f t="shared" si="1766"/>
        <v>2095185.2668236</v>
      </c>
      <c r="CZ398" s="182"/>
      <c r="DA398" s="182">
        <v>0</v>
      </c>
      <c r="DB398" s="188"/>
      <c r="DC398" s="182">
        <f>(DB398*$E398*$F398*$G398*$M398*$DC$12)</f>
        <v>0</v>
      </c>
      <c r="DD398" s="182"/>
      <c r="DE398" s="187"/>
      <c r="DF398" s="182"/>
      <c r="DG398" s="182">
        <f>(DF398*$E398*$F398*$G398*$M398*$DG$12)</f>
        <v>0</v>
      </c>
      <c r="DH398" s="189">
        <f>ROUND(1*0.75,0)</f>
        <v>1</v>
      </c>
      <c r="DI398" s="182">
        <f>(DH398*$E398*$F398*$G398*$M398*$DI$12)</f>
        <v>38828.8488</v>
      </c>
      <c r="DJ398" s="182">
        <v>1</v>
      </c>
      <c r="DK398" s="182">
        <f>(DJ398/12*11*$E398*$F398*$G398*$M398*$DK$12)+(DJ398/12*1*$E398*$F398*$M398*$G398*$DK$12*$DK$15)</f>
        <v>42311.472963619992</v>
      </c>
      <c r="DL398" s="182">
        <f>ROUND(2*0.75,0)</f>
        <v>2</v>
      </c>
      <c r="DM398" s="182">
        <f>(DL398*$E398*$F398*$G398*$N398*$DM$12)</f>
        <v>103081.3486</v>
      </c>
      <c r="DN398" s="182">
        <f>ROUND(8*0.75,0)</f>
        <v>6</v>
      </c>
      <c r="DO398" s="190">
        <f>(DN398*$E398*$F398*$G398*$O398*$DO$12)</f>
        <v>356393.36219999997</v>
      </c>
      <c r="DP398" s="187"/>
      <c r="DQ398" s="187"/>
      <c r="DR398" s="183">
        <f t="shared" ref="DR398:DS402" si="1798">SUM(P398,R398,T398,V398,AB398,AJ398,AD398,AF398,AH398,AL398,AN398,AP398,AV398,AZ398,BB398,CF398,AR398,BF398,BH398,BJ398,CT398,BL398,BN398,AT398,BR398,AX398,CV398,BT398,CX398,BV398,BX398,BZ398,CH398,CB398,CD398,CJ398,CL398,CN398,CP398,CR398,CZ398,DB398,BP398,BD398,DD398,DF398,DH398,DJ398,DL398,DN398,DP398)</f>
        <v>743</v>
      </c>
      <c r="DS398" s="183">
        <f t="shared" si="1798"/>
        <v>30307909.397915203</v>
      </c>
      <c r="DT398" s="182">
        <v>743</v>
      </c>
      <c r="DU398" s="182">
        <v>29692690.265493333</v>
      </c>
      <c r="DV398" s="167">
        <f t="shared" si="1450"/>
        <v>0</v>
      </c>
      <c r="DW398" s="167">
        <f t="shared" si="1450"/>
        <v>615219.13242186978</v>
      </c>
    </row>
    <row r="399" spans="1:127" ht="15.75" customHeight="1" x14ac:dyDescent="0.25">
      <c r="A399" s="154"/>
      <c r="B399" s="176">
        <v>350</v>
      </c>
      <c r="C399" s="177" t="s">
        <v>868</v>
      </c>
      <c r="D399" s="210" t="s">
        <v>869</v>
      </c>
      <c r="E399" s="158">
        <v>25969</v>
      </c>
      <c r="F399" s="179">
        <v>0.74</v>
      </c>
      <c r="G399" s="168">
        <v>1</v>
      </c>
      <c r="H399" s="169"/>
      <c r="I399" s="169"/>
      <c r="J399" s="169"/>
      <c r="K399" s="106"/>
      <c r="L399" s="180">
        <v>1.4</v>
      </c>
      <c r="M399" s="180">
        <v>1.68</v>
      </c>
      <c r="N399" s="180">
        <v>2.23</v>
      </c>
      <c r="O399" s="181">
        <v>2.57</v>
      </c>
      <c r="P399" s="182">
        <v>82</v>
      </c>
      <c r="Q399" s="182">
        <f>(P399*$E399*$F399*$G399*$L399*$Q$12)</f>
        <v>2426730.3368000002</v>
      </c>
      <c r="R399" s="182"/>
      <c r="S399" s="182">
        <f>(R399*$E399*$F399*$G399*$L399*$S$12)</f>
        <v>0</v>
      </c>
      <c r="T399" s="182"/>
      <c r="U399" s="182">
        <f t="shared" si="1789"/>
        <v>0</v>
      </c>
      <c r="V399" s="182"/>
      <c r="W399" s="183">
        <f t="shared" si="1790"/>
        <v>0</v>
      </c>
      <c r="X399" s="183"/>
      <c r="Y399" s="183">
        <v>0</v>
      </c>
      <c r="Z399" s="183"/>
      <c r="AA399" s="183">
        <v>0</v>
      </c>
      <c r="AB399" s="182">
        <f t="shared" si="1791"/>
        <v>0</v>
      </c>
      <c r="AC399" s="182">
        <f t="shared" si="1791"/>
        <v>0</v>
      </c>
      <c r="AD399" s="182"/>
      <c r="AE399" s="182">
        <f>(AD399*$E399*$F399*$G399*$L399*$AE$12)</f>
        <v>0</v>
      </c>
      <c r="AF399" s="182"/>
      <c r="AG399" s="182"/>
      <c r="AH399" s="182"/>
      <c r="AI399" s="182">
        <f>(AH399*$E399*$F399*$G399*$L399*$AI$12)</f>
        <v>0</v>
      </c>
      <c r="AJ399" s="182"/>
      <c r="AK399" s="182"/>
      <c r="AL399" s="182"/>
      <c r="AM399" s="182"/>
      <c r="AN399" s="182">
        <v>7</v>
      </c>
      <c r="AO399" s="182">
        <f>(AN399*$E399*$F399*$G399*$L399*$AO$12)</f>
        <v>207159.9068</v>
      </c>
      <c r="AP399" s="182"/>
      <c r="AQ399" s="183">
        <f>(AP399*$E399*$F399*$G399*$L399*$AQ$12)</f>
        <v>0</v>
      </c>
      <c r="AR399" s="182"/>
      <c r="AS399" s="182">
        <f t="shared" si="1792"/>
        <v>0</v>
      </c>
      <c r="AT399" s="182">
        <v>10</v>
      </c>
      <c r="AU399" s="182">
        <f t="shared" si="1793"/>
        <v>372048.26963589602</v>
      </c>
      <c r="AV399" s="188"/>
      <c r="AW399" s="182">
        <f>(AV399*$E399*$F399*$G399*$M399*$AW$12)</f>
        <v>0</v>
      </c>
      <c r="AX399" s="182"/>
      <c r="AY399" s="187">
        <f>(AX399*$E399*$F399*$G399*$M399*$AY$12)</f>
        <v>0</v>
      </c>
      <c r="AZ399" s="182"/>
      <c r="BA399" s="182">
        <f>(AZ399*$E399*$F399*$G399*$L399*$BA$12)</f>
        <v>0</v>
      </c>
      <c r="BB399" s="182">
        <v>0</v>
      </c>
      <c r="BC399" s="182">
        <f>(BB399*$E399*$F399*$G399*$L399*$BC$12)</f>
        <v>0</v>
      </c>
      <c r="BD399" s="182"/>
      <c r="BE399" s="182">
        <f>(BD399*$E399*$F399*$G399*$L399*$BE$12)</f>
        <v>0</v>
      </c>
      <c r="BF399" s="182"/>
      <c r="BG399" s="182">
        <f>(BF399*$E399*$F399*$G399*$L399*$BG$12)</f>
        <v>0</v>
      </c>
      <c r="BH399" s="182"/>
      <c r="BI399" s="183">
        <f>(BH399*$E399*$F399*$G399*$L399*$BI$12)</f>
        <v>0</v>
      </c>
      <c r="BJ399" s="182"/>
      <c r="BK399" s="183">
        <f>(BJ399*$E399*$F399*$G399*$L399*$BK$12)</f>
        <v>0</v>
      </c>
      <c r="BL399" s="182"/>
      <c r="BM399" s="182">
        <f>(BL399*$E399*$F399*$G399*$L399*$BM$12)</f>
        <v>0</v>
      </c>
      <c r="BN399" s="182"/>
      <c r="BO399" s="182">
        <f>(BN399*$E399*$F399*$G399*$M399*$BO$12)</f>
        <v>0</v>
      </c>
      <c r="BP399" s="182"/>
      <c r="BQ399" s="182">
        <f>(BP399*$E399*$F399*$G399*$M399*$BQ$12)</f>
        <v>0</v>
      </c>
      <c r="BR399" s="182"/>
      <c r="BS399" s="183">
        <f>(BR399*$E399*$F399*$G399*$M399*$BS$12)</f>
        <v>0</v>
      </c>
      <c r="BT399" s="182"/>
      <c r="BU399" s="182">
        <f>(BT399*$E399*$F399*$G399*$M399*$BU$12)</f>
        <v>0</v>
      </c>
      <c r="BV399" s="182"/>
      <c r="BW399" s="182">
        <f>(BV399*$E399*$F399*$G399*$M399*$BW$12)</f>
        <v>0</v>
      </c>
      <c r="BX399" s="182"/>
      <c r="BY399" s="183">
        <f>(BX399*$E399*$F399*$G399*$M399*$BY$12)</f>
        <v>0</v>
      </c>
      <c r="BZ399" s="182"/>
      <c r="CA399" s="187">
        <f>(BZ399*$E399*$F399*$G399*$M399*$CA$12)</f>
        <v>0</v>
      </c>
      <c r="CB399" s="182"/>
      <c r="CC399" s="182">
        <f>(CB399*$E399*$F399*$G399*$L399*$CC$12)</f>
        <v>0</v>
      </c>
      <c r="CD399" s="182"/>
      <c r="CE399" s="182">
        <f>(CD399*$E399*$F399*$G399*$L399*$CE$12)</f>
        <v>0</v>
      </c>
      <c r="CF399" s="182"/>
      <c r="CG399" s="182">
        <f>(CF399*$E399*$F399*$G399*$L399*$CG$12)</f>
        <v>0</v>
      </c>
      <c r="CH399" s="182"/>
      <c r="CI399" s="182">
        <f>(CH399*$E399*$F399*$G399*$M399*$CI$12)</f>
        <v>0</v>
      </c>
      <c r="CJ399" s="182"/>
      <c r="CK399" s="182"/>
      <c r="CL399" s="182"/>
      <c r="CM399" s="183">
        <f>(CL399*$E399*$F399*$G399*$L399*$CM$12)</f>
        <v>0</v>
      </c>
      <c r="CN399" s="182"/>
      <c r="CO399" s="183">
        <f>(CN399*$E399*$F399*$G399*$L399*$CO$12)</f>
        <v>0</v>
      </c>
      <c r="CP399" s="182"/>
      <c r="CQ399" s="182">
        <f>(CP399*$E399*$F399*$G399*$L399*$CQ$12)</f>
        <v>0</v>
      </c>
      <c r="CR399" s="182"/>
      <c r="CS399" s="182">
        <f>(CR399*$E399*$F399*$G399*$L399*$CS$12)</f>
        <v>0</v>
      </c>
      <c r="CT399" s="182"/>
      <c r="CU399" s="182">
        <f>(CT399*$E399*$F399*$G399*$L399*$CU$12)</f>
        <v>0</v>
      </c>
      <c r="CV399" s="182"/>
      <c r="CW399" s="182">
        <v>0</v>
      </c>
      <c r="CX399" s="182">
        <v>10</v>
      </c>
      <c r="CY399" s="182">
        <f t="shared" si="1766"/>
        <v>348412.83088751999</v>
      </c>
      <c r="CZ399" s="182"/>
      <c r="DA399" s="182">
        <v>0</v>
      </c>
      <c r="DB399" s="188"/>
      <c r="DC399" s="182">
        <f>(DB399*$E399*$F399*$G399*$M399*$DC$12)</f>
        <v>0</v>
      </c>
      <c r="DD399" s="182"/>
      <c r="DE399" s="187"/>
      <c r="DF399" s="182"/>
      <c r="DG399" s="182">
        <f>(DF399*$E399*$F399*$G399*$M399*$DG$12)</f>
        <v>0</v>
      </c>
      <c r="DH399" s="189"/>
      <c r="DI399" s="182">
        <f>(DH399*$E399*$F399*$G399*$M399*$DI$12)</f>
        <v>0</v>
      </c>
      <c r="DJ399" s="182"/>
      <c r="DK399" s="182">
        <f>(DJ399*$E399*$F399*$G399*$M399*$DK$12)</f>
        <v>0</v>
      </c>
      <c r="DL399" s="182"/>
      <c r="DM399" s="182">
        <f>(DL399*$E399*$F399*$G399*$N399*$DM$12)</f>
        <v>0</v>
      </c>
      <c r="DN399" s="182"/>
      <c r="DO399" s="190">
        <f>(DN399*$E399*$F399*$G399*$O399*$DO$12)</f>
        <v>0</v>
      </c>
      <c r="DP399" s="187"/>
      <c r="DQ399" s="187"/>
      <c r="DR399" s="183">
        <f t="shared" si="1798"/>
        <v>109</v>
      </c>
      <c r="DS399" s="183">
        <f t="shared" si="1798"/>
        <v>3354351.3441234166</v>
      </c>
      <c r="DT399" s="182">
        <v>109</v>
      </c>
      <c r="DU399" s="182">
        <v>3319939.2856000001</v>
      </c>
      <c r="DV399" s="167">
        <f t="shared" si="1450"/>
        <v>0</v>
      </c>
      <c r="DW399" s="167">
        <f t="shared" si="1450"/>
        <v>34412.058523416519</v>
      </c>
    </row>
    <row r="400" spans="1:127" ht="15.75" customHeight="1" x14ac:dyDescent="0.25">
      <c r="A400" s="154"/>
      <c r="B400" s="176">
        <v>351</v>
      </c>
      <c r="C400" s="177" t="s">
        <v>870</v>
      </c>
      <c r="D400" s="210" t="s">
        <v>871</v>
      </c>
      <c r="E400" s="158">
        <v>25969</v>
      </c>
      <c r="F400" s="179">
        <v>1.27</v>
      </c>
      <c r="G400" s="168">
        <v>1</v>
      </c>
      <c r="H400" s="169"/>
      <c r="I400" s="169"/>
      <c r="J400" s="169"/>
      <c r="K400" s="106"/>
      <c r="L400" s="180">
        <v>1.4</v>
      </c>
      <c r="M400" s="180">
        <v>1.68</v>
      </c>
      <c r="N400" s="180">
        <v>2.23</v>
      </c>
      <c r="O400" s="181">
        <v>2.57</v>
      </c>
      <c r="P400" s="182">
        <v>151</v>
      </c>
      <c r="Q400" s="182">
        <f>(P400*$E400*$F400*$G400*$L400*$Q$12)</f>
        <v>7669315.7001999998</v>
      </c>
      <c r="R400" s="182"/>
      <c r="S400" s="182">
        <f>(R400*$E400*$F400*$G400*$L400*$S$12)</f>
        <v>0</v>
      </c>
      <c r="T400" s="182"/>
      <c r="U400" s="182">
        <f t="shared" si="1789"/>
        <v>0</v>
      </c>
      <c r="V400" s="182"/>
      <c r="W400" s="183">
        <f t="shared" si="1790"/>
        <v>0</v>
      </c>
      <c r="X400" s="183"/>
      <c r="Y400" s="183">
        <v>0</v>
      </c>
      <c r="Z400" s="183"/>
      <c r="AA400" s="183">
        <v>0</v>
      </c>
      <c r="AB400" s="182">
        <f t="shared" si="1791"/>
        <v>0</v>
      </c>
      <c r="AC400" s="182">
        <f t="shared" si="1791"/>
        <v>0</v>
      </c>
      <c r="AD400" s="182"/>
      <c r="AE400" s="182">
        <f>(AD400*$E400*$F400*$G400*$L400*$AE$12)</f>
        <v>0</v>
      </c>
      <c r="AF400" s="182"/>
      <c r="AG400" s="182"/>
      <c r="AH400" s="182"/>
      <c r="AI400" s="182">
        <f>(AH400*$E400*$F400*$G400*$L400*$AI$12)</f>
        <v>0</v>
      </c>
      <c r="AJ400" s="182"/>
      <c r="AK400" s="182"/>
      <c r="AL400" s="182"/>
      <c r="AM400" s="182"/>
      <c r="AN400" s="182">
        <v>7</v>
      </c>
      <c r="AO400" s="182">
        <f>(AN400*$E400*$F400*$G400*$L400*$AO$12)</f>
        <v>355531.19140000001</v>
      </c>
      <c r="AP400" s="182"/>
      <c r="AQ400" s="183">
        <f>(AP400*$E400*$F400*$G400*$L400*$AQ$12)</f>
        <v>0</v>
      </c>
      <c r="AR400" s="182"/>
      <c r="AS400" s="182">
        <f t="shared" si="1792"/>
        <v>0</v>
      </c>
      <c r="AT400" s="182">
        <v>78</v>
      </c>
      <c r="AU400" s="182">
        <f t="shared" si="1793"/>
        <v>4980419.1338016037</v>
      </c>
      <c r="AV400" s="188"/>
      <c r="AW400" s="182">
        <f>(AV400*$E400*$F400*$G400*$M400*$AW$12)</f>
        <v>0</v>
      </c>
      <c r="AX400" s="182"/>
      <c r="AY400" s="187">
        <f>(AX400*$E400*$F400*$G400*$M400*$AY$12)</f>
        <v>0</v>
      </c>
      <c r="AZ400" s="182"/>
      <c r="BA400" s="182">
        <f>(AZ400*$E400*$F400*$G400*$L400*$BA$12)</f>
        <v>0</v>
      </c>
      <c r="BB400" s="182"/>
      <c r="BC400" s="182">
        <f>(BB400*$E400*$F400*$G400*$L400*$BC$12)</f>
        <v>0</v>
      </c>
      <c r="BD400" s="182"/>
      <c r="BE400" s="182">
        <f>(BD400*$E400*$F400*$G400*$L400*$BE$12)</f>
        <v>0</v>
      </c>
      <c r="BF400" s="182"/>
      <c r="BG400" s="182">
        <f>(BF400*$E400*$F400*$G400*$L400*$BG$12)</f>
        <v>0</v>
      </c>
      <c r="BH400" s="182"/>
      <c r="BI400" s="183">
        <f>(BH400*$E400*$F400*$G400*$L400*$BI$12)</f>
        <v>0</v>
      </c>
      <c r="BJ400" s="182"/>
      <c r="BK400" s="183">
        <f>(BJ400*$E400*$F400*$G400*$L400*$BK$12)</f>
        <v>0</v>
      </c>
      <c r="BL400" s="182"/>
      <c r="BM400" s="182">
        <f>(BL400*$E400*$F400*$G400*$L400*$BM$12)</f>
        <v>0</v>
      </c>
      <c r="BN400" s="182"/>
      <c r="BO400" s="182">
        <f>(BN400*$E400*$F400*$G400*$M400*$BO$12)</f>
        <v>0</v>
      </c>
      <c r="BP400" s="182"/>
      <c r="BQ400" s="182">
        <f>(BP400*$E400*$F400*$G400*$M400*$BQ$12)</f>
        <v>0</v>
      </c>
      <c r="BR400" s="182"/>
      <c r="BS400" s="183">
        <f>(BR400*$E400*$F400*$G400*$M400*$BS$12)</f>
        <v>0</v>
      </c>
      <c r="BT400" s="182"/>
      <c r="BU400" s="182">
        <f>(BT400*$E400*$F400*$G400*$M400*$BU$12)</f>
        <v>0</v>
      </c>
      <c r="BV400" s="182"/>
      <c r="BW400" s="182">
        <f>(BV400*$E400*$F400*$G400*$M400*$BW$12)</f>
        <v>0</v>
      </c>
      <c r="BX400" s="182"/>
      <c r="BY400" s="183">
        <f>(BX400*$E400*$F400*$G400*$M400*$BY$12)</f>
        <v>0</v>
      </c>
      <c r="BZ400" s="182"/>
      <c r="CA400" s="187">
        <f>(BZ400*$E400*$F400*$G400*$M400*$CA$12)</f>
        <v>0</v>
      </c>
      <c r="CB400" s="182"/>
      <c r="CC400" s="182">
        <f>(CB400*$E400*$F400*$G400*$L400*$CC$12)</f>
        <v>0</v>
      </c>
      <c r="CD400" s="182"/>
      <c r="CE400" s="182">
        <f>(CD400*$E400*$F400*$G400*$L400*$CE$12)</f>
        <v>0</v>
      </c>
      <c r="CF400" s="182"/>
      <c r="CG400" s="182">
        <f>(CF400*$E400*$F400*$G400*$L400*$CG$12)</f>
        <v>0</v>
      </c>
      <c r="CH400" s="182"/>
      <c r="CI400" s="182">
        <f>(CH400*$E400*$F400*$G400*$M400*$CI$12)</f>
        <v>0</v>
      </c>
      <c r="CJ400" s="182"/>
      <c r="CK400" s="182"/>
      <c r="CL400" s="182"/>
      <c r="CM400" s="183">
        <f>(CL400*$E400*$F400*$G400*$L400*$CM$12)</f>
        <v>0</v>
      </c>
      <c r="CN400" s="182"/>
      <c r="CO400" s="183">
        <f>(CN400*$E400*$F400*$G400*$L400*$CO$12)</f>
        <v>0</v>
      </c>
      <c r="CP400" s="182"/>
      <c r="CQ400" s="182">
        <f>(CP400*$E400*$F400*$G400*$L400*$CQ$12)</f>
        <v>0</v>
      </c>
      <c r="CR400" s="182"/>
      <c r="CS400" s="182">
        <f>(CR400*$E400*$F400*$G400*$L400*$CS$12)</f>
        <v>0</v>
      </c>
      <c r="CT400" s="182"/>
      <c r="CU400" s="182">
        <f>(CT400*$E400*$F400*$G400*$L400*$CU$12)</f>
        <v>0</v>
      </c>
      <c r="CV400" s="182">
        <v>2</v>
      </c>
      <c r="CW400" s="182">
        <v>110814.92</v>
      </c>
      <c r="CX400" s="182"/>
      <c r="CY400" s="182">
        <f>(CX400*$E400*$F400*$G400*$M400*$CY$12)</f>
        <v>0</v>
      </c>
      <c r="CZ400" s="182"/>
      <c r="DA400" s="182">
        <v>0</v>
      </c>
      <c r="DB400" s="188"/>
      <c r="DC400" s="182">
        <f>(DB400*$E400*$F400*$G400*$M400*$DC$12)</f>
        <v>0</v>
      </c>
      <c r="DD400" s="182"/>
      <c r="DE400" s="187"/>
      <c r="DF400" s="182"/>
      <c r="DG400" s="182">
        <f>(DF400*$E400*$F400*$G400*$M400*$DG$12)</f>
        <v>0</v>
      </c>
      <c r="DH400" s="189"/>
      <c r="DI400" s="182">
        <f>(DH400*$E400*$F400*$G400*$M400*$DI$12)</f>
        <v>0</v>
      </c>
      <c r="DJ400" s="182"/>
      <c r="DK400" s="182">
        <f>(DJ400*$E400*$F400*$G400*$M400*$DK$12)</f>
        <v>0</v>
      </c>
      <c r="DL400" s="182"/>
      <c r="DM400" s="182">
        <f>(DL400*$E400*$F400*$G400*$N400*$DM$12)</f>
        <v>0</v>
      </c>
      <c r="DN400" s="182"/>
      <c r="DO400" s="190">
        <f>(DN400*$E400*$F400*$G400*$O400*$DO$12)</f>
        <v>0</v>
      </c>
      <c r="DP400" s="187"/>
      <c r="DQ400" s="187"/>
      <c r="DR400" s="183">
        <f t="shared" si="1798"/>
        <v>238</v>
      </c>
      <c r="DS400" s="183">
        <f t="shared" si="1798"/>
        <v>13116080.945401603</v>
      </c>
      <c r="DT400" s="182">
        <v>238</v>
      </c>
      <c r="DU400" s="182">
        <v>12997666.2862</v>
      </c>
      <c r="DV400" s="167">
        <f t="shared" si="1450"/>
        <v>0</v>
      </c>
      <c r="DW400" s="167">
        <f t="shared" si="1450"/>
        <v>118414.65920160338</v>
      </c>
    </row>
    <row r="401" spans="1:127" ht="30" x14ac:dyDescent="0.25">
      <c r="A401" s="154"/>
      <c r="B401" s="176">
        <v>352</v>
      </c>
      <c r="C401" s="177" t="s">
        <v>872</v>
      </c>
      <c r="D401" s="210" t="s">
        <v>873</v>
      </c>
      <c r="E401" s="158">
        <v>25969</v>
      </c>
      <c r="F401" s="179">
        <v>1.63</v>
      </c>
      <c r="G401" s="168">
        <v>1</v>
      </c>
      <c r="H401" s="169"/>
      <c r="I401" s="169"/>
      <c r="J401" s="169"/>
      <c r="K401" s="106"/>
      <c r="L401" s="180">
        <v>1.4</v>
      </c>
      <c r="M401" s="180">
        <v>1.68</v>
      </c>
      <c r="N401" s="180">
        <v>2.23</v>
      </c>
      <c r="O401" s="181">
        <v>2.57</v>
      </c>
      <c r="P401" s="182">
        <v>17</v>
      </c>
      <c r="Q401" s="182">
        <f>(P401*$E401*$F401*$G401*$L401*$Q$12)</f>
        <v>1108185.5246000001</v>
      </c>
      <c r="R401" s="182"/>
      <c r="S401" s="182">
        <f>(R401*$E401*$F401*$G401*$L401*$S$12)</f>
        <v>0</v>
      </c>
      <c r="T401" s="182"/>
      <c r="U401" s="182">
        <f t="shared" si="1789"/>
        <v>0</v>
      </c>
      <c r="V401" s="182"/>
      <c r="W401" s="183">
        <f t="shared" si="1790"/>
        <v>0</v>
      </c>
      <c r="X401" s="183"/>
      <c r="Y401" s="183">
        <v>0</v>
      </c>
      <c r="Z401" s="183">
        <v>0</v>
      </c>
      <c r="AA401" s="183">
        <v>0</v>
      </c>
      <c r="AB401" s="182">
        <f t="shared" si="1791"/>
        <v>0</v>
      </c>
      <c r="AC401" s="182">
        <f t="shared" si="1791"/>
        <v>0</v>
      </c>
      <c r="AD401" s="182"/>
      <c r="AE401" s="182">
        <f>(AD401*$E401*$F401*$G401*$L401*$AE$12)</f>
        <v>0</v>
      </c>
      <c r="AF401" s="182"/>
      <c r="AG401" s="182"/>
      <c r="AH401" s="182"/>
      <c r="AI401" s="182">
        <f>(AH401*$E401*$F401*$G401*$L401*$AI$12)</f>
        <v>0</v>
      </c>
      <c r="AJ401" s="182"/>
      <c r="AK401" s="182"/>
      <c r="AL401" s="182"/>
      <c r="AM401" s="182"/>
      <c r="AN401" s="182"/>
      <c r="AO401" s="182">
        <f>(AN401*$E401*$F401*$G401*$L401*$AO$12)</f>
        <v>0</v>
      </c>
      <c r="AP401" s="182"/>
      <c r="AQ401" s="183">
        <f>(AP401*$E401*$F401*$G401*$L401*$AQ$12)</f>
        <v>0</v>
      </c>
      <c r="AR401" s="182"/>
      <c r="AS401" s="182">
        <f t="shared" si="1792"/>
        <v>0</v>
      </c>
      <c r="AT401" s="182">
        <f>11-8</f>
        <v>3</v>
      </c>
      <c r="AU401" s="182">
        <f t="shared" si="1793"/>
        <v>245853.51871885557</v>
      </c>
      <c r="AV401" s="188">
        <v>2</v>
      </c>
      <c r="AW401" s="182">
        <v>199117.82</v>
      </c>
      <c r="AX401" s="182"/>
      <c r="AY401" s="187">
        <f>(AX401*$E401*$F401*$G401*$M401*$AY$12)</f>
        <v>0</v>
      </c>
      <c r="AZ401" s="182"/>
      <c r="BA401" s="182">
        <f>(AZ401*$E401*$F401*$G401*$L401*$BA$12)</f>
        <v>0</v>
      </c>
      <c r="BB401" s="182"/>
      <c r="BC401" s="182">
        <f>(BB401*$E401*$F401*$G401*$L401*$BC$12)</f>
        <v>0</v>
      </c>
      <c r="BD401" s="182"/>
      <c r="BE401" s="182">
        <f>(BD401*$E401*$F401*$G401*$L401*$BE$12)</f>
        <v>0</v>
      </c>
      <c r="BF401" s="182"/>
      <c r="BG401" s="182">
        <f>(BF401*$E401*$F401*$G401*$L401*$BG$12)</f>
        <v>0</v>
      </c>
      <c r="BH401" s="182"/>
      <c r="BI401" s="183">
        <f>(BH401*$E401*$F401*$G401*$L401*$BI$12)</f>
        <v>0</v>
      </c>
      <c r="BJ401" s="182"/>
      <c r="BK401" s="183">
        <f>(BJ401*$E401*$F401*$G401*$L401*$BK$12)</f>
        <v>0</v>
      </c>
      <c r="BL401" s="182"/>
      <c r="BM401" s="182">
        <f>(BL401*$E401*$F401*$G401*$L401*$BM$12)</f>
        <v>0</v>
      </c>
      <c r="BN401" s="182"/>
      <c r="BO401" s="182">
        <f>(BN401*$E401*$F401*$G401*$M401*$BO$12)</f>
        <v>0</v>
      </c>
      <c r="BP401" s="182"/>
      <c r="BQ401" s="182">
        <f>(BP401*$E401*$F401*$G401*$M401*$BQ$12)</f>
        <v>0</v>
      </c>
      <c r="BR401" s="182"/>
      <c r="BS401" s="183">
        <f>(BR401*$E401*$F401*$G401*$M401*$BS$12)</f>
        <v>0</v>
      </c>
      <c r="BT401" s="182">
        <v>1</v>
      </c>
      <c r="BU401" s="182">
        <f t="shared" ref="BU401" si="1799">(BT401*$E401*$F401*$G401*$M401*$BU$12)/12*10+(BT401*$E401*$F401*$G401*$M401*$BU$13)/12+(BT401*$E401*$F401*$G401*$M401*$BU$13*$BU$15)/12</f>
        <v>79220.544512412773</v>
      </c>
      <c r="BV401" s="182"/>
      <c r="BW401" s="182">
        <f>(BV401*$E401*$F401*$G401*$M401*$BW$12)</f>
        <v>0</v>
      </c>
      <c r="BX401" s="182"/>
      <c r="BY401" s="183">
        <f>(BX401*$E401*$F401*$G401*$M401*$BY$12)</f>
        <v>0</v>
      </c>
      <c r="BZ401" s="182"/>
      <c r="CA401" s="187">
        <f>(BZ401*$E401*$F401*$G401*$M401*$CA$12)</f>
        <v>0</v>
      </c>
      <c r="CB401" s="182"/>
      <c r="CC401" s="182">
        <f>(CB401*$E401*$F401*$G401*$L401*$CC$12)</f>
        <v>0</v>
      </c>
      <c r="CD401" s="182"/>
      <c r="CE401" s="182">
        <f>(CD401*$E401*$F401*$G401*$L401*$CE$12)</f>
        <v>0</v>
      </c>
      <c r="CF401" s="182"/>
      <c r="CG401" s="182">
        <f>(CF401*$E401*$F401*$G401*$L401*$CG$12)</f>
        <v>0</v>
      </c>
      <c r="CH401" s="182"/>
      <c r="CI401" s="182">
        <f>(CH401*$E401*$F401*$G401*$M401*$CI$12)</f>
        <v>0</v>
      </c>
      <c r="CJ401" s="182"/>
      <c r="CK401" s="182"/>
      <c r="CL401" s="182"/>
      <c r="CM401" s="183">
        <f>(CL401*$E401*$F401*$G401*$L401*$CM$12)</f>
        <v>0</v>
      </c>
      <c r="CN401" s="182"/>
      <c r="CO401" s="183">
        <f>(CN401*$E401*$F401*$G401*$L401*$CO$12)</f>
        <v>0</v>
      </c>
      <c r="CP401" s="182"/>
      <c r="CQ401" s="182">
        <f>(CP401*$E401*$F401*$G401*$L401*$CQ$12)</f>
        <v>0</v>
      </c>
      <c r="CR401" s="182"/>
      <c r="CS401" s="182">
        <f>(CR401*$E401*$F401*$G401*$L401*$CS$12)</f>
        <v>0</v>
      </c>
      <c r="CT401" s="182"/>
      <c r="CU401" s="182">
        <f>(CT401*$E401*$F401*$G401*$L401*$CU$12)</f>
        <v>0</v>
      </c>
      <c r="CV401" s="182">
        <v>1</v>
      </c>
      <c r="CW401" s="182">
        <v>71113.509999999995</v>
      </c>
      <c r="CX401" s="182"/>
      <c r="CY401" s="182">
        <f>(CX401*$E401*$F401*$G401*$M401*$CY$12)</f>
        <v>0</v>
      </c>
      <c r="CZ401" s="182"/>
      <c r="DA401" s="182">
        <v>0</v>
      </c>
      <c r="DB401" s="188"/>
      <c r="DC401" s="182">
        <f>(DB401*$E401*$F401*$G401*$M401*$DC$12)</f>
        <v>0</v>
      </c>
      <c r="DD401" s="182"/>
      <c r="DE401" s="187"/>
      <c r="DF401" s="182"/>
      <c r="DG401" s="182">
        <f>(DF401*$E401*$F401*$G401*$M401*$DG$12)</f>
        <v>0</v>
      </c>
      <c r="DH401" s="189"/>
      <c r="DI401" s="182">
        <f>(DH401*$E401*$F401*$G401*$M401*$DI$12)</f>
        <v>0</v>
      </c>
      <c r="DJ401" s="182"/>
      <c r="DK401" s="182">
        <f>(DJ401*$E401*$F401*$G401*$M401*$DK$12)</f>
        <v>0</v>
      </c>
      <c r="DL401" s="182"/>
      <c r="DM401" s="182">
        <f>(DL401*$E401*$F401*$G401*$N401*$DM$12)</f>
        <v>0</v>
      </c>
      <c r="DN401" s="182"/>
      <c r="DO401" s="190">
        <f>(DN401*$E401*$F401*$G401*$O401*$DO$12)</f>
        <v>0</v>
      </c>
      <c r="DP401" s="187"/>
      <c r="DQ401" s="187"/>
      <c r="DR401" s="183">
        <f t="shared" si="1798"/>
        <v>24</v>
      </c>
      <c r="DS401" s="183">
        <f t="shared" si="1798"/>
        <v>1703490.9178312686</v>
      </c>
      <c r="DT401" s="182">
        <v>26</v>
      </c>
      <c r="DU401" s="182">
        <v>1891026.74318</v>
      </c>
      <c r="DV401" s="167">
        <f t="shared" ref="DV401:DW464" si="1800">DR401-DT401</f>
        <v>-2</v>
      </c>
      <c r="DW401" s="167">
        <f t="shared" si="1800"/>
        <v>-187535.82534873136</v>
      </c>
    </row>
    <row r="402" spans="1:127" ht="30" x14ac:dyDescent="0.25">
      <c r="A402" s="154"/>
      <c r="B402" s="176">
        <v>353</v>
      </c>
      <c r="C402" s="177" t="s">
        <v>874</v>
      </c>
      <c r="D402" s="210" t="s">
        <v>875</v>
      </c>
      <c r="E402" s="158">
        <v>25969</v>
      </c>
      <c r="F402" s="168">
        <v>1.9</v>
      </c>
      <c r="G402" s="168">
        <v>1</v>
      </c>
      <c r="H402" s="169"/>
      <c r="I402" s="169"/>
      <c r="J402" s="169"/>
      <c r="K402" s="106"/>
      <c r="L402" s="180">
        <v>1.4</v>
      </c>
      <c r="M402" s="180">
        <v>1.68</v>
      </c>
      <c r="N402" s="180">
        <v>2.23</v>
      </c>
      <c r="O402" s="181">
        <v>2.57</v>
      </c>
      <c r="P402" s="182">
        <v>16</v>
      </c>
      <c r="Q402" s="182">
        <f>(P402*$E402*$F402*$G402*$L402*$Q$12)</f>
        <v>1215764.7039999999</v>
      </c>
      <c r="R402" s="182"/>
      <c r="S402" s="182">
        <f>(R402*$E402*$F402*$G402*$L402*$S$12)</f>
        <v>0</v>
      </c>
      <c r="T402" s="182"/>
      <c r="U402" s="182">
        <f t="shared" si="1789"/>
        <v>0</v>
      </c>
      <c r="V402" s="182"/>
      <c r="W402" s="183">
        <f t="shared" si="1790"/>
        <v>0</v>
      </c>
      <c r="X402" s="183"/>
      <c r="Y402" s="183">
        <v>0</v>
      </c>
      <c r="Z402" s="183"/>
      <c r="AA402" s="183">
        <v>0</v>
      </c>
      <c r="AB402" s="182">
        <f t="shared" si="1791"/>
        <v>0</v>
      </c>
      <c r="AC402" s="182">
        <f t="shared" si="1791"/>
        <v>0</v>
      </c>
      <c r="AD402" s="182"/>
      <c r="AE402" s="182">
        <f>(AD402*$E402*$F402*$G402*$L402*$AE$12)</f>
        <v>0</v>
      </c>
      <c r="AF402" s="182"/>
      <c r="AG402" s="182"/>
      <c r="AH402" s="182"/>
      <c r="AI402" s="182">
        <f>(AH402*$E402*$F402*$G402*$L402*$AI$12)</f>
        <v>0</v>
      </c>
      <c r="AJ402" s="182"/>
      <c r="AK402" s="182"/>
      <c r="AL402" s="182"/>
      <c r="AM402" s="182"/>
      <c r="AN402" s="182">
        <v>2</v>
      </c>
      <c r="AO402" s="182">
        <f>(AN402*$E402*$F402*$G402*$L402*$AO$12)</f>
        <v>151970.58799999999</v>
      </c>
      <c r="AP402" s="182"/>
      <c r="AQ402" s="183">
        <f>(AP402*$E402*$F402*$G402*$L402*$AQ$12)</f>
        <v>0</v>
      </c>
      <c r="AR402" s="182"/>
      <c r="AS402" s="182">
        <f t="shared" si="1792"/>
        <v>0</v>
      </c>
      <c r="AT402" s="182">
        <v>11</v>
      </c>
      <c r="AU402" s="182">
        <f t="shared" si="1793"/>
        <v>1050784.9777554362</v>
      </c>
      <c r="AV402" s="188"/>
      <c r="AW402" s="182">
        <f>(AV402*$E402*$F402*$G402*$M402*$AW$12)</f>
        <v>0</v>
      </c>
      <c r="AX402" s="182"/>
      <c r="AY402" s="187">
        <f>(AX402*$E402*$F402*$G402*$M402*$AY$12)</f>
        <v>0</v>
      </c>
      <c r="AZ402" s="182"/>
      <c r="BA402" s="182">
        <f>(AZ402*$E402*$F402*$G402*$L402*$BA$12)</f>
        <v>0</v>
      </c>
      <c r="BB402" s="182">
        <v>0</v>
      </c>
      <c r="BC402" s="182">
        <f>(BB402*$E402*$F402*$G402*$L402*$BC$12)</f>
        <v>0</v>
      </c>
      <c r="BD402" s="182"/>
      <c r="BE402" s="182">
        <f>(BD402*$E402*$F402*$G402*$L402*$BE$12)</f>
        <v>0</v>
      </c>
      <c r="BF402" s="182"/>
      <c r="BG402" s="182">
        <f>(BF402*$E402*$F402*$G402*$L402*$BG$12)</f>
        <v>0</v>
      </c>
      <c r="BH402" s="182"/>
      <c r="BI402" s="183">
        <f>(BH402*$E402*$F402*$G402*$L402*$BI$12)</f>
        <v>0</v>
      </c>
      <c r="BJ402" s="182"/>
      <c r="BK402" s="183">
        <f>(BJ402*$E402*$F402*$G402*$L402*$BK$12)</f>
        <v>0</v>
      </c>
      <c r="BL402" s="182"/>
      <c r="BM402" s="182">
        <f>(BL402*$E402*$F402*$G402*$L402*$BM$12)</f>
        <v>0</v>
      </c>
      <c r="BN402" s="182"/>
      <c r="BO402" s="182">
        <f>(BN402*$E402*$F402*$G402*$M402*$BO$12)</f>
        <v>0</v>
      </c>
      <c r="BP402" s="182"/>
      <c r="BQ402" s="182">
        <f>(BP402*$E402*$F402*$G402*$M402*$BQ$12)</f>
        <v>0</v>
      </c>
      <c r="BR402" s="182"/>
      <c r="BS402" s="183">
        <f>(BR402*$E402*$F402*$G402*$M402*$BS$12)</f>
        <v>0</v>
      </c>
      <c r="BT402" s="182"/>
      <c r="BU402" s="182">
        <f>(BT402*$E402*$F402*$G402*$M402*$BU$12)</f>
        <v>0</v>
      </c>
      <c r="BV402" s="182"/>
      <c r="BW402" s="182">
        <f>(BV402*$E402*$F402*$G402*$M402*$BW$12)</f>
        <v>0</v>
      </c>
      <c r="BX402" s="182"/>
      <c r="BY402" s="183">
        <f>(BX402*$E402*$F402*$G402*$M402*$BY$12)</f>
        <v>0</v>
      </c>
      <c r="BZ402" s="182"/>
      <c r="CA402" s="187">
        <f>(BZ402*$E402*$F402*$G402*$M402*$CA$12)</f>
        <v>0</v>
      </c>
      <c r="CB402" s="182"/>
      <c r="CC402" s="182">
        <f>(CB402*$E402*$F402*$G402*$L402*$CC$12)</f>
        <v>0</v>
      </c>
      <c r="CD402" s="182"/>
      <c r="CE402" s="182">
        <f>(CD402*$E402*$F402*$G402*$L402*$CE$12)</f>
        <v>0</v>
      </c>
      <c r="CF402" s="182"/>
      <c r="CG402" s="182">
        <f>(CF402*$E402*$F402*$G402*$L402*$CG$12)</f>
        <v>0</v>
      </c>
      <c r="CH402" s="182"/>
      <c r="CI402" s="182">
        <f>(CH402*$E402*$F402*$G402*$M402*$CI$12)</f>
        <v>0</v>
      </c>
      <c r="CJ402" s="182"/>
      <c r="CK402" s="182"/>
      <c r="CL402" s="182"/>
      <c r="CM402" s="183">
        <f>(CL402*$E402*$F402*$G402*$L402*$CM$12)</f>
        <v>0</v>
      </c>
      <c r="CN402" s="182"/>
      <c r="CO402" s="183">
        <f>(CN402*$E402*$F402*$G402*$L402*$CO$12)</f>
        <v>0</v>
      </c>
      <c r="CP402" s="182"/>
      <c r="CQ402" s="182">
        <f>(CP402*$E402*$F402*$G402*$L402*$CQ$12)</f>
        <v>0</v>
      </c>
      <c r="CR402" s="182"/>
      <c r="CS402" s="182">
        <f>(CR402*$E402*$F402*$G402*$L402*$CS$12)</f>
        <v>0</v>
      </c>
      <c r="CT402" s="182"/>
      <c r="CU402" s="182">
        <f>(CT402*$E402*$F402*$G402*$L402*$CU$12)</f>
        <v>0</v>
      </c>
      <c r="CV402" s="182"/>
      <c r="CW402" s="182">
        <v>0</v>
      </c>
      <c r="CX402" s="182"/>
      <c r="CY402" s="182">
        <f>(CX402*$E402*$F402*$G402*$M402*$CY$12)</f>
        <v>0</v>
      </c>
      <c r="CZ402" s="182"/>
      <c r="DA402" s="182">
        <v>0</v>
      </c>
      <c r="DB402" s="188"/>
      <c r="DC402" s="182">
        <f>(DB402*$E402*$F402*$G402*$M402*$DC$12)</f>
        <v>0</v>
      </c>
      <c r="DD402" s="182"/>
      <c r="DE402" s="187"/>
      <c r="DF402" s="182"/>
      <c r="DG402" s="182">
        <f>(DF402*$E402*$F402*$G402*$M402*$DG$12)</f>
        <v>0</v>
      </c>
      <c r="DH402" s="189"/>
      <c r="DI402" s="182">
        <f>(DH402*$E402*$F402*$G402*$M402*$DI$12)</f>
        <v>0</v>
      </c>
      <c r="DJ402" s="182"/>
      <c r="DK402" s="182">
        <f>(DJ402*$E402*$F402*$G402*$M402*$DK$12)</f>
        <v>0</v>
      </c>
      <c r="DL402" s="182"/>
      <c r="DM402" s="182">
        <f>(DL402*$E402*$F402*$G402*$N402*$DM$12)</f>
        <v>0</v>
      </c>
      <c r="DN402" s="182"/>
      <c r="DO402" s="190">
        <f>(DN402*$E402*$F402*$G402*$O402*$DO$12)</f>
        <v>0</v>
      </c>
      <c r="DP402" s="187"/>
      <c r="DQ402" s="187"/>
      <c r="DR402" s="183">
        <f t="shared" si="1798"/>
        <v>29</v>
      </c>
      <c r="DS402" s="183">
        <f t="shared" si="1798"/>
        <v>2418520.2697554361</v>
      </c>
      <c r="DT402" s="182">
        <v>29</v>
      </c>
      <c r="DU402" s="182">
        <v>2393536.7609999999</v>
      </c>
      <c r="DV402" s="167">
        <f t="shared" si="1800"/>
        <v>0</v>
      </c>
      <c r="DW402" s="167">
        <f t="shared" si="1800"/>
        <v>24983.508755436167</v>
      </c>
    </row>
    <row r="403" spans="1:127" ht="15.75" customHeight="1" x14ac:dyDescent="0.25">
      <c r="A403" s="170">
        <v>35</v>
      </c>
      <c r="B403" s="197"/>
      <c r="C403" s="198"/>
      <c r="D403" s="211" t="s">
        <v>876</v>
      </c>
      <c r="E403" s="158">
        <v>25969</v>
      </c>
      <c r="F403" s="199">
        <v>1.4</v>
      </c>
      <c r="G403" s="171"/>
      <c r="H403" s="169"/>
      <c r="I403" s="169"/>
      <c r="J403" s="169"/>
      <c r="K403" s="173"/>
      <c r="L403" s="174">
        <v>1.4</v>
      </c>
      <c r="M403" s="174">
        <v>1.68</v>
      </c>
      <c r="N403" s="174">
        <v>2.23</v>
      </c>
      <c r="O403" s="175">
        <v>2.57</v>
      </c>
      <c r="P403" s="166">
        <f t="shared" ref="P403:AD403" si="1801">SUM(P404:P412)</f>
        <v>814</v>
      </c>
      <c r="Q403" s="166">
        <f t="shared" si="1801"/>
        <v>46962111.072799988</v>
      </c>
      <c r="R403" s="166">
        <f t="shared" si="1801"/>
        <v>25</v>
      </c>
      <c r="S403" s="166">
        <f t="shared" si="1801"/>
        <v>1594491.4062000001</v>
      </c>
      <c r="T403" s="166">
        <f t="shared" si="1801"/>
        <v>147</v>
      </c>
      <c r="U403" s="166">
        <f t="shared" si="1801"/>
        <v>9457278.7533</v>
      </c>
      <c r="V403" s="166">
        <f t="shared" si="1801"/>
        <v>0</v>
      </c>
      <c r="W403" s="166">
        <f t="shared" si="1801"/>
        <v>0</v>
      </c>
      <c r="X403" s="166">
        <v>2</v>
      </c>
      <c r="Y403" s="166">
        <v>217848.74719999998</v>
      </c>
      <c r="Z403" s="166">
        <v>0</v>
      </c>
      <c r="AA403" s="166">
        <v>0</v>
      </c>
      <c r="AB403" s="166">
        <f t="shared" si="1801"/>
        <v>2</v>
      </c>
      <c r="AC403" s="166">
        <f t="shared" si="1801"/>
        <v>217848.74719999998</v>
      </c>
      <c r="AD403" s="166">
        <f t="shared" si="1801"/>
        <v>0</v>
      </c>
      <c r="AE403" s="166">
        <f t="shared" ref="AE403:CP403" si="1802">SUM(AE404:AE412)</f>
        <v>0</v>
      </c>
      <c r="AF403" s="166">
        <f t="shared" si="1802"/>
        <v>0</v>
      </c>
      <c r="AG403" s="166">
        <f t="shared" si="1802"/>
        <v>0</v>
      </c>
      <c r="AH403" s="166">
        <f t="shared" si="1802"/>
        <v>165</v>
      </c>
      <c r="AI403" s="166">
        <f t="shared" si="1802"/>
        <v>9738115.3100000005</v>
      </c>
      <c r="AJ403" s="166">
        <f>SUM(AJ404:AJ412)</f>
        <v>0</v>
      </c>
      <c r="AK403" s="166">
        <f>SUM(AK404:AK412)</f>
        <v>0</v>
      </c>
      <c r="AL403" s="166">
        <f t="shared" si="1802"/>
        <v>0</v>
      </c>
      <c r="AM403" s="166">
        <f t="shared" si="1802"/>
        <v>0</v>
      </c>
      <c r="AN403" s="166">
        <f t="shared" si="1802"/>
        <v>0</v>
      </c>
      <c r="AO403" s="166">
        <f t="shared" si="1802"/>
        <v>0</v>
      </c>
      <c r="AP403" s="166">
        <f t="shared" si="1802"/>
        <v>186</v>
      </c>
      <c r="AQ403" s="166">
        <f t="shared" si="1802"/>
        <v>10585551.2994</v>
      </c>
      <c r="AR403" s="166">
        <f t="shared" si="1802"/>
        <v>167</v>
      </c>
      <c r="AS403" s="166">
        <f t="shared" si="1802"/>
        <v>10145189.5622511</v>
      </c>
      <c r="AT403" s="166">
        <f t="shared" si="1802"/>
        <v>275</v>
      </c>
      <c r="AU403" s="166">
        <f t="shared" si="1802"/>
        <v>20289199.893454835</v>
      </c>
      <c r="AV403" s="166">
        <f t="shared" si="1802"/>
        <v>0</v>
      </c>
      <c r="AW403" s="166">
        <f t="shared" si="1802"/>
        <v>0</v>
      </c>
      <c r="AX403" s="166">
        <f t="shared" si="1802"/>
        <v>43</v>
      </c>
      <c r="AY403" s="166">
        <f t="shared" si="1802"/>
        <v>2792579.5312800002</v>
      </c>
      <c r="AZ403" s="166">
        <f t="shared" si="1802"/>
        <v>0</v>
      </c>
      <c r="BA403" s="166">
        <f t="shared" si="1802"/>
        <v>0</v>
      </c>
      <c r="BB403" s="166">
        <f t="shared" si="1802"/>
        <v>0</v>
      </c>
      <c r="BC403" s="166">
        <f t="shared" si="1802"/>
        <v>0</v>
      </c>
      <c r="BD403" s="166">
        <f t="shared" si="1802"/>
        <v>0</v>
      </c>
      <c r="BE403" s="166">
        <f t="shared" si="1802"/>
        <v>0</v>
      </c>
      <c r="BF403" s="166">
        <f t="shared" si="1802"/>
        <v>0</v>
      </c>
      <c r="BG403" s="166">
        <f t="shared" si="1802"/>
        <v>0</v>
      </c>
      <c r="BH403" s="166">
        <f t="shared" si="1802"/>
        <v>0</v>
      </c>
      <c r="BI403" s="166">
        <f t="shared" si="1802"/>
        <v>0</v>
      </c>
      <c r="BJ403" s="166">
        <f t="shared" si="1802"/>
        <v>0</v>
      </c>
      <c r="BK403" s="166">
        <f t="shared" si="1802"/>
        <v>0</v>
      </c>
      <c r="BL403" s="166">
        <f t="shared" si="1802"/>
        <v>42</v>
      </c>
      <c r="BM403" s="166">
        <f t="shared" si="1802"/>
        <v>2937374.0041270228</v>
      </c>
      <c r="BN403" s="166">
        <f t="shared" si="1802"/>
        <v>124</v>
      </c>
      <c r="BO403" s="166">
        <f t="shared" si="1802"/>
        <v>8286076.3339200011</v>
      </c>
      <c r="BP403" s="166">
        <f t="shared" si="1802"/>
        <v>4</v>
      </c>
      <c r="BQ403" s="166">
        <f t="shared" si="1802"/>
        <v>304983.13797769998</v>
      </c>
      <c r="BR403" s="166">
        <f t="shared" si="1802"/>
        <v>0</v>
      </c>
      <c r="BS403" s="166">
        <f t="shared" si="1802"/>
        <v>0</v>
      </c>
      <c r="BT403" s="166">
        <f t="shared" si="1802"/>
        <v>57</v>
      </c>
      <c r="BU403" s="166">
        <f t="shared" si="1802"/>
        <v>4127730.5800240608</v>
      </c>
      <c r="BV403" s="166">
        <f t="shared" si="1802"/>
        <v>32</v>
      </c>
      <c r="BW403" s="166">
        <f t="shared" si="1802"/>
        <v>1779102.9496799998</v>
      </c>
      <c r="BX403" s="166">
        <f t="shared" si="1802"/>
        <v>65</v>
      </c>
      <c r="BY403" s="166">
        <f t="shared" si="1802"/>
        <v>5366805.8079101751</v>
      </c>
      <c r="BZ403" s="166">
        <f t="shared" si="1802"/>
        <v>145</v>
      </c>
      <c r="CA403" s="166">
        <f t="shared" si="1802"/>
        <v>10738849.099625638</v>
      </c>
      <c r="CB403" s="166">
        <f t="shared" si="1802"/>
        <v>0</v>
      </c>
      <c r="CC403" s="166">
        <f t="shared" si="1802"/>
        <v>0</v>
      </c>
      <c r="CD403" s="166">
        <f t="shared" si="1802"/>
        <v>160</v>
      </c>
      <c r="CE403" s="166">
        <f t="shared" si="1802"/>
        <v>6475110.459999999</v>
      </c>
      <c r="CF403" s="166">
        <f t="shared" si="1802"/>
        <v>0</v>
      </c>
      <c r="CG403" s="166">
        <f t="shared" si="1802"/>
        <v>0</v>
      </c>
      <c r="CH403" s="166">
        <f t="shared" si="1802"/>
        <v>103</v>
      </c>
      <c r="CI403" s="166">
        <f t="shared" si="1802"/>
        <v>7296475.5874517635</v>
      </c>
      <c r="CJ403" s="166">
        <f t="shared" si="1802"/>
        <v>0</v>
      </c>
      <c r="CK403" s="166">
        <f t="shared" si="1802"/>
        <v>0</v>
      </c>
      <c r="CL403" s="166">
        <f t="shared" si="1802"/>
        <v>0</v>
      </c>
      <c r="CM403" s="166">
        <f t="shared" si="1802"/>
        <v>0</v>
      </c>
      <c r="CN403" s="166">
        <f t="shared" si="1802"/>
        <v>75</v>
      </c>
      <c r="CO403" s="166">
        <f t="shared" si="1802"/>
        <v>3250280.04</v>
      </c>
      <c r="CP403" s="166">
        <f t="shared" si="1802"/>
        <v>0</v>
      </c>
      <c r="CQ403" s="166">
        <f t="shared" ref="CQ403:DS403" si="1803">SUM(CQ404:CQ412)</f>
        <v>0</v>
      </c>
      <c r="CR403" s="166">
        <f t="shared" si="1803"/>
        <v>86</v>
      </c>
      <c r="CS403" s="166">
        <f t="shared" si="1803"/>
        <v>5424810.1966765933</v>
      </c>
      <c r="CT403" s="166">
        <f t="shared" si="1803"/>
        <v>40</v>
      </c>
      <c r="CU403" s="166">
        <f t="shared" si="1803"/>
        <v>2010245.0986543798</v>
      </c>
      <c r="CV403" s="166">
        <f t="shared" si="1803"/>
        <v>279</v>
      </c>
      <c r="CW403" s="166">
        <v>17119595.67999994</v>
      </c>
      <c r="CX403" s="166">
        <f t="shared" si="1803"/>
        <v>0</v>
      </c>
      <c r="CY403" s="166">
        <f t="shared" si="1803"/>
        <v>0</v>
      </c>
      <c r="CZ403" s="166">
        <f t="shared" si="1803"/>
        <v>0</v>
      </c>
      <c r="DA403" s="166">
        <v>0</v>
      </c>
      <c r="DB403" s="166">
        <f t="shared" si="1803"/>
        <v>0</v>
      </c>
      <c r="DC403" s="166">
        <f t="shared" si="1803"/>
        <v>0</v>
      </c>
      <c r="DD403" s="166">
        <f t="shared" si="1803"/>
        <v>0</v>
      </c>
      <c r="DE403" s="166">
        <f t="shared" si="1803"/>
        <v>0</v>
      </c>
      <c r="DF403" s="166">
        <f t="shared" si="1803"/>
        <v>0</v>
      </c>
      <c r="DG403" s="166">
        <f t="shared" si="1803"/>
        <v>0</v>
      </c>
      <c r="DH403" s="166">
        <f t="shared" si="1803"/>
        <v>0</v>
      </c>
      <c r="DI403" s="166">
        <f t="shared" si="1803"/>
        <v>0</v>
      </c>
      <c r="DJ403" s="166">
        <f t="shared" si="1803"/>
        <v>63</v>
      </c>
      <c r="DK403" s="166">
        <f t="shared" si="1803"/>
        <v>4373294.8291274197</v>
      </c>
      <c r="DL403" s="166">
        <f t="shared" si="1803"/>
        <v>4</v>
      </c>
      <c r="DM403" s="166">
        <f t="shared" si="1803"/>
        <v>252491.39319999999</v>
      </c>
      <c r="DN403" s="166">
        <f t="shared" si="1803"/>
        <v>19</v>
      </c>
      <c r="DO403" s="166">
        <f t="shared" si="1803"/>
        <v>1649153.5543</v>
      </c>
      <c r="DP403" s="166">
        <f t="shared" si="1803"/>
        <v>0</v>
      </c>
      <c r="DQ403" s="166">
        <f t="shared" si="1803"/>
        <v>0</v>
      </c>
      <c r="DR403" s="166">
        <f t="shared" si="1803"/>
        <v>3122</v>
      </c>
      <c r="DS403" s="166">
        <f t="shared" si="1803"/>
        <v>193174744.32856065</v>
      </c>
      <c r="DT403" s="166">
        <v>3129</v>
      </c>
      <c r="DU403" s="166">
        <v>188379424.0826833</v>
      </c>
      <c r="DV403" s="167">
        <f t="shared" si="1800"/>
        <v>-7</v>
      </c>
      <c r="DW403" s="167">
        <f t="shared" si="1800"/>
        <v>4795320.2458773553</v>
      </c>
    </row>
    <row r="404" spans="1:127" ht="15.75" customHeight="1" x14ac:dyDescent="0.25">
      <c r="A404" s="154"/>
      <c r="B404" s="176">
        <v>354</v>
      </c>
      <c r="C404" s="177" t="s">
        <v>877</v>
      </c>
      <c r="D404" s="210" t="s">
        <v>878</v>
      </c>
      <c r="E404" s="158">
        <v>25969</v>
      </c>
      <c r="F404" s="179">
        <v>1.02</v>
      </c>
      <c r="G404" s="168">
        <v>1</v>
      </c>
      <c r="H404" s="169"/>
      <c r="I404" s="169"/>
      <c r="J404" s="169"/>
      <c r="K404" s="106"/>
      <c r="L404" s="180">
        <v>1.4</v>
      </c>
      <c r="M404" s="180">
        <v>1.68</v>
      </c>
      <c r="N404" s="180">
        <v>2.23</v>
      </c>
      <c r="O404" s="181">
        <v>2.57</v>
      </c>
      <c r="P404" s="316">
        <v>43</v>
      </c>
      <c r="Q404" s="182">
        <f t="shared" ref="Q404:Q412" si="1804">(P404*$E404*$F404*$G404*$L404*$Q$12)</f>
        <v>1754060.5236000002</v>
      </c>
      <c r="R404" s="182">
        <v>1</v>
      </c>
      <c r="S404" s="182">
        <f t="shared" ref="S404:S412" si="1805">(R404*$E404*$F404*$G404*$L404*$S$12)</f>
        <v>40792.105199999998</v>
      </c>
      <c r="T404" s="182"/>
      <c r="U404" s="182">
        <f t="shared" ref="U404:U412" si="1806">(T404/12*11*$E404*$F404*$G404*$L404*$U$12)+(T404/12*1*$E404*$F404*$G404*$L404*$U$14)</f>
        <v>0</v>
      </c>
      <c r="V404" s="182"/>
      <c r="W404" s="183">
        <f t="shared" ref="W404:W412" si="1807">(V404*$E404*$F404*$G404*$L404*$W$12)/12*10+(V404*$E404*$F404*$G404*$L404*$W$13)/12*1++(V404*$E404*$F404*$G404*$L404*$W$14)/12*1</f>
        <v>0</v>
      </c>
      <c r="X404" s="183"/>
      <c r="Y404" s="183">
        <v>0</v>
      </c>
      <c r="Z404" s="183"/>
      <c r="AA404" s="183">
        <v>0</v>
      </c>
      <c r="AB404" s="182">
        <f t="shared" ref="AB404:AC412" si="1808">X404+Z404</f>
        <v>0</v>
      </c>
      <c r="AC404" s="182">
        <f t="shared" si="1808"/>
        <v>0</v>
      </c>
      <c r="AD404" s="182"/>
      <c r="AE404" s="182">
        <f t="shared" ref="AE404:AE412" si="1809">(AD404*$E404*$F404*$G404*$L404*$AE$12)</f>
        <v>0</v>
      </c>
      <c r="AF404" s="182"/>
      <c r="AG404" s="182"/>
      <c r="AH404" s="182">
        <v>5</v>
      </c>
      <c r="AI404" s="182">
        <f t="shared" ref="AI404:AI412" si="1810">(AH404*$E404*$F404*$G404*$L404*$AI$12)</f>
        <v>203960.52599999998</v>
      </c>
      <c r="AJ404" s="182"/>
      <c r="AK404" s="182"/>
      <c r="AL404" s="182"/>
      <c r="AM404" s="182"/>
      <c r="AN404" s="184"/>
      <c r="AO404" s="182">
        <f t="shared" ref="AO404:AO412" si="1811">(AN404*$E404*$F404*$G404*$L404*$AO$12)</f>
        <v>0</v>
      </c>
      <c r="AP404" s="182">
        <v>21</v>
      </c>
      <c r="AQ404" s="183">
        <f t="shared" ref="AQ404:AQ412" si="1812">(AP404*$E404*$F404*$G404*$L404*$AQ$12)</f>
        <v>856634.20920000004</v>
      </c>
      <c r="AR404" s="182">
        <v>27</v>
      </c>
      <c r="AS404" s="182">
        <f t="shared" ref="AS404:AS410" si="1813">(AR404*$E404*$F404*$G404*$L404*$AS$12)/12*10+(AR404*$E404*$F404*$G404*$L404*$AS$13)/12*1+(AR404*$E404*$F404*$L404*$G404*$AS$14*$AS$15)/12*1</f>
        <v>1188980.4695706</v>
      </c>
      <c r="AT404" s="182">
        <f>6+8</f>
        <v>14</v>
      </c>
      <c r="AU404" s="182">
        <f t="shared" ref="AU404:AU411" si="1814">(AT404*$E404*$F404*$G404*$M404*$AU$12)/12*10+(AT404*$E404*$F404*$G404*$M404*$AU$13)/12+(AT404*$E404*$F404*$G404*$M404*$AU$14*$AU$15)/12</f>
        <v>717952.60681089119</v>
      </c>
      <c r="AV404" s="188"/>
      <c r="AW404" s="182">
        <f t="shared" ref="AW404:AW412" si="1815">(AV404*$E404*$F404*$G404*$M404*$AW$12)</f>
        <v>0</v>
      </c>
      <c r="AX404" s="182">
        <v>12</v>
      </c>
      <c r="AY404" s="187">
        <f t="shared" ref="AY404:AY412" si="1816">(AX404*$E404*$F404*$G404*$M404*$AY$12)</f>
        <v>587406.31488000008</v>
      </c>
      <c r="AZ404" s="182"/>
      <c r="BA404" s="182">
        <f t="shared" ref="BA404:BA412" si="1817">(AZ404*$E404*$F404*$G404*$L404*$BA$12)</f>
        <v>0</v>
      </c>
      <c r="BB404" s="182"/>
      <c r="BC404" s="182">
        <f t="shared" ref="BC404:BC412" si="1818">(BB404*$E404*$F404*$G404*$L404*$BC$12)</f>
        <v>0</v>
      </c>
      <c r="BD404" s="182"/>
      <c r="BE404" s="182">
        <f t="shared" ref="BE404:BE412" si="1819">(BD404*$E404*$F404*$G404*$L404*$BE$12)</f>
        <v>0</v>
      </c>
      <c r="BF404" s="182"/>
      <c r="BG404" s="182">
        <f t="shared" ref="BG404:BG412" si="1820">(BF404*$E404*$F404*$G404*$L404*$BG$12)</f>
        <v>0</v>
      </c>
      <c r="BH404" s="182"/>
      <c r="BI404" s="183">
        <f t="shared" ref="BI404:BI412" si="1821">(BH404*$E404*$F404*$G404*$L404*$BI$12)</f>
        <v>0</v>
      </c>
      <c r="BJ404" s="182"/>
      <c r="BK404" s="183">
        <f t="shared" ref="BK404:BK412" si="1822">(BJ404*$E404*$F404*$G404*$L404*$BK$12)</f>
        <v>0</v>
      </c>
      <c r="BL404" s="182">
        <v>10</v>
      </c>
      <c r="BM404" s="182">
        <f t="shared" ref="BM404:BM405" si="1823">(BL404/12*11*$E404*$F404*$G404*$L404*$BM$12)+(BL404/12*$E404*$F404*$G404*$L404*$BM$12*$BM$15)</f>
        <v>517643.65656696004</v>
      </c>
      <c r="BN404" s="182">
        <v>23</v>
      </c>
      <c r="BO404" s="182">
        <f t="shared" ref="BO404:BO412" si="1824">(BN404*$E404*$F404*$G404*$M404*$BO$12)</f>
        <v>1125862.1035199999</v>
      </c>
      <c r="BP404" s="182"/>
      <c r="BQ404" s="182">
        <f t="shared" ref="BQ404:BQ409" si="1825">(BP404*$E404*$F404*$G404*$M404*$BQ$12)</f>
        <v>0</v>
      </c>
      <c r="BR404" s="182"/>
      <c r="BS404" s="183">
        <f t="shared" ref="BS404:BS412" si="1826">(BR404*$E404*$F404*$G404*$M404*$BS$12)</f>
        <v>0</v>
      </c>
      <c r="BT404" s="182"/>
      <c r="BU404" s="182">
        <f t="shared" ref="BU404:BU412" si="1827">(BT404*$E404*$F404*$G404*$M404*$BU$12)</f>
        <v>0</v>
      </c>
      <c r="BV404" s="182">
        <v>8</v>
      </c>
      <c r="BW404" s="182">
        <f t="shared" ref="BW404:BW412" si="1828">(BV404*$E404*$F404*$G404*$M404*$BW$12)</f>
        <v>320403.44448000001</v>
      </c>
      <c r="BX404" s="182">
        <v>4</v>
      </c>
      <c r="BY404" s="183">
        <f t="shared" ref="BY404:BY410" si="1829">(BX404*$E404*$F404*$G404*$M404*$BY$12)/12*11+(BX404*$E404*$F404*$G404*$M404*$BY$12*$BY$15)/12</f>
        <v>240067.62083404799</v>
      </c>
      <c r="BZ404" s="182">
        <v>6</v>
      </c>
      <c r="CA404" s="187">
        <f t="shared" ref="CA404:CA411" si="1830">(BZ404*$E404*$F404*$G404*$M404*$CA$12)/12*11+(BZ404*$E404*$F404*$G404*$M404*$CA$12*$CA$15)/12</f>
        <v>348952.72639751999</v>
      </c>
      <c r="CB404" s="182"/>
      <c r="CC404" s="182">
        <f t="shared" ref="CC404:CC412" si="1831">(CB404*$E404*$F404*$G404*$L404*$CC$12)</f>
        <v>0</v>
      </c>
      <c r="CD404" s="182"/>
      <c r="CE404" s="182">
        <f t="shared" ref="CE404:CE412" si="1832">(CD404*$E404*$F404*$G404*$L404*$CE$12)</f>
        <v>0</v>
      </c>
      <c r="CF404" s="182"/>
      <c r="CG404" s="182">
        <f t="shared" ref="CG404:CG412" si="1833">(CF404*$E404*$F404*$G404*$L404*$CG$12)</f>
        <v>0</v>
      </c>
      <c r="CH404" s="182">
        <v>4</v>
      </c>
      <c r="CI404" s="182">
        <f t="shared" ref="CI404:CI406" si="1834">(CH404*$E404*$F404*$G404*$M404*$CI$12)/12*11+(CH404*$E404*$F404*$G404*$M404*$CI$12*$CI$15)/12</f>
        <v>198371.562582816</v>
      </c>
      <c r="CJ404" s="182"/>
      <c r="CK404" s="182"/>
      <c r="CL404" s="182"/>
      <c r="CM404" s="183">
        <f t="shared" ref="CM404:CM412" si="1835">(CL404*$E404*$F404*$G404*$L404*$CM$12)</f>
        <v>0</v>
      </c>
      <c r="CN404" s="182"/>
      <c r="CO404" s="183">
        <f t="shared" ref="CO404:CO412" si="1836">(CN404*$E404*$F404*$G404*$L404*$CO$12)</f>
        <v>0</v>
      </c>
      <c r="CP404" s="182"/>
      <c r="CQ404" s="182">
        <f t="shared" ref="CQ404:CQ412" si="1837">(CP404*$E404*$F404*$G404*$L404*$CQ$12)</f>
        <v>0</v>
      </c>
      <c r="CR404" s="182">
        <v>4</v>
      </c>
      <c r="CS404" s="182">
        <f t="shared" ref="CS404:CS407" si="1838">(CR404*$E404*$F404*$G404*$L404*$CS$12)/12*10+(CR404*$E404*$F404*$G404*$L404*$CS$13)/12+(CR404*$E404*$F404*$G404*$L404*$CS$13*$CS$15)/12</f>
        <v>177834.04790647997</v>
      </c>
      <c r="CT404" s="182">
        <v>12</v>
      </c>
      <c r="CU404" s="182">
        <f t="shared" ref="CU404:CU410" si="1839">(CT404*$E404*$F404*$G404*$L404*$CU$12)/12*11+(CT404*$E404*$F404*$G404*$L404*$CU$12*$CU$15)/12</f>
        <v>467161.57219535997</v>
      </c>
      <c r="CV404" s="182">
        <v>38</v>
      </c>
      <c r="CW404" s="182">
        <v>1668767.9999999995</v>
      </c>
      <c r="CX404" s="182"/>
      <c r="CY404" s="182">
        <f t="shared" ref="CY404:CY412" si="1840">(CX404*$E404*$F404*$G404*$M404*$CY$12)</f>
        <v>0</v>
      </c>
      <c r="CZ404" s="182"/>
      <c r="DA404" s="182">
        <v>0</v>
      </c>
      <c r="DB404" s="188"/>
      <c r="DC404" s="182">
        <f t="shared" ref="DC404:DC412" si="1841">(DB404*$E404*$F404*$G404*$M404*$DC$12)</f>
        <v>0</v>
      </c>
      <c r="DD404" s="182"/>
      <c r="DE404" s="187"/>
      <c r="DF404" s="182"/>
      <c r="DG404" s="182">
        <f t="shared" ref="DG404:DG412" si="1842">(DF404*$E404*$F404*$G404*$M404*$DG$12)</f>
        <v>0</v>
      </c>
      <c r="DH404" s="189"/>
      <c r="DI404" s="182">
        <f t="shared" ref="DI404:DI412" si="1843">(DH404*$E404*$F404*$G404*$M404*$DI$12)</f>
        <v>0</v>
      </c>
      <c r="DJ404" s="182">
        <v>4</v>
      </c>
      <c r="DK404" s="182">
        <f t="shared" ref="DK404:DK405" si="1844">(DJ404/12*11*$E404*$F404*$G404*$M404*$DK$12)+(DJ404/12*1*$E404*$F404*$M404*$G404*$DK$12*$DK$15)</f>
        <v>193967.20190063998</v>
      </c>
      <c r="DL404" s="182">
        <f>ROUND(3*0.75,0)</f>
        <v>2</v>
      </c>
      <c r="DM404" s="182">
        <f t="shared" ref="DM404:DM412" si="1845">(DL404*$E404*$F404*$G404*$N404*$DM$12)</f>
        <v>118138.17480000001</v>
      </c>
      <c r="DN404" s="182">
        <f>ROUND(5*0.75,0)</f>
        <v>4</v>
      </c>
      <c r="DO404" s="190">
        <f t="shared" ref="DO404:DO412" si="1846">(DN404*$E404*$F404*$G404*$O404*$DO$12)</f>
        <v>272300.54639999999</v>
      </c>
      <c r="DP404" s="187"/>
      <c r="DQ404" s="187"/>
      <c r="DR404" s="183">
        <f t="shared" ref="DR404:DS412" si="1847">SUM(P404,R404,T404,V404,AB404,AJ404,AD404,AF404,AH404,AL404,AN404,AP404,AV404,AZ404,BB404,CF404,AR404,BF404,BH404,BJ404,CT404,BL404,BN404,AT404,BR404,AX404,CV404,BT404,CX404,BV404,BX404,BZ404,CH404,CB404,CD404,CJ404,CL404,CN404,CP404,CR404,CZ404,DB404,BP404,BD404,DD404,DF404,DH404,DJ404,DL404,DN404,DP404)</f>
        <v>242</v>
      </c>
      <c r="DS404" s="183">
        <f t="shared" si="1847"/>
        <v>10999257.412845314</v>
      </c>
      <c r="DT404" s="182">
        <v>241</v>
      </c>
      <c r="DU404" s="182">
        <v>10684820.978180001</v>
      </c>
      <c r="DV404" s="167">
        <f t="shared" si="1800"/>
        <v>1</v>
      </c>
      <c r="DW404" s="167">
        <f t="shared" si="1800"/>
        <v>314436.43466531299</v>
      </c>
    </row>
    <row r="405" spans="1:127" ht="15.75" customHeight="1" x14ac:dyDescent="0.25">
      <c r="A405" s="154"/>
      <c r="B405" s="176">
        <v>355</v>
      </c>
      <c r="C405" s="177" t="s">
        <v>879</v>
      </c>
      <c r="D405" s="210" t="s">
        <v>880</v>
      </c>
      <c r="E405" s="158">
        <v>25969</v>
      </c>
      <c r="F405" s="179">
        <v>1.49</v>
      </c>
      <c r="G405" s="168">
        <v>1</v>
      </c>
      <c r="H405" s="169"/>
      <c r="I405" s="169"/>
      <c r="J405" s="169"/>
      <c r="K405" s="106"/>
      <c r="L405" s="180">
        <v>1.4</v>
      </c>
      <c r="M405" s="180">
        <v>1.68</v>
      </c>
      <c r="N405" s="180">
        <v>2.23</v>
      </c>
      <c r="O405" s="181">
        <v>2.57</v>
      </c>
      <c r="P405" s="316">
        <v>650</v>
      </c>
      <c r="Q405" s="182">
        <f t="shared" si="1804"/>
        <v>38732503.809999995</v>
      </c>
      <c r="R405" s="182">
        <v>15</v>
      </c>
      <c r="S405" s="182">
        <f t="shared" si="1805"/>
        <v>893827.01100000006</v>
      </c>
      <c r="T405" s="182"/>
      <c r="U405" s="182">
        <f t="shared" si="1806"/>
        <v>0</v>
      </c>
      <c r="V405" s="182"/>
      <c r="W405" s="183">
        <f t="shared" si="1807"/>
        <v>0</v>
      </c>
      <c r="X405" s="183"/>
      <c r="Y405" s="183">
        <v>0</v>
      </c>
      <c r="Z405" s="183"/>
      <c r="AA405" s="183">
        <v>0</v>
      </c>
      <c r="AB405" s="182">
        <f t="shared" si="1808"/>
        <v>0</v>
      </c>
      <c r="AC405" s="182">
        <f t="shared" si="1808"/>
        <v>0</v>
      </c>
      <c r="AD405" s="182"/>
      <c r="AE405" s="182">
        <f t="shared" si="1809"/>
        <v>0</v>
      </c>
      <c r="AF405" s="182"/>
      <c r="AG405" s="182"/>
      <c r="AH405" s="182">
        <v>160</v>
      </c>
      <c r="AI405" s="182">
        <f t="shared" si="1810"/>
        <v>9534154.784</v>
      </c>
      <c r="AJ405" s="182"/>
      <c r="AK405" s="182"/>
      <c r="AL405" s="182"/>
      <c r="AM405" s="182"/>
      <c r="AN405" s="184"/>
      <c r="AO405" s="182">
        <f t="shared" si="1811"/>
        <v>0</v>
      </c>
      <c r="AP405" s="182">
        <v>155</v>
      </c>
      <c r="AQ405" s="183">
        <f t="shared" si="1812"/>
        <v>9236212.4470000006</v>
      </c>
      <c r="AR405" s="182">
        <v>136</v>
      </c>
      <c r="AS405" s="182">
        <f t="shared" si="1813"/>
        <v>8748547.6526429337</v>
      </c>
      <c r="AT405" s="182">
        <v>249</v>
      </c>
      <c r="AU405" s="182">
        <f t="shared" si="1814"/>
        <v>18653193.042920776</v>
      </c>
      <c r="AV405" s="188"/>
      <c r="AW405" s="182">
        <f t="shared" si="1815"/>
        <v>0</v>
      </c>
      <c r="AX405" s="182">
        <v>30</v>
      </c>
      <c r="AY405" s="187">
        <f t="shared" si="1816"/>
        <v>2145184.8264000001</v>
      </c>
      <c r="AZ405" s="182"/>
      <c r="BA405" s="182">
        <f t="shared" si="1817"/>
        <v>0</v>
      </c>
      <c r="BB405" s="182"/>
      <c r="BC405" s="182">
        <f t="shared" si="1818"/>
        <v>0</v>
      </c>
      <c r="BD405" s="182"/>
      <c r="BE405" s="182">
        <f t="shared" si="1819"/>
        <v>0</v>
      </c>
      <c r="BF405" s="182"/>
      <c r="BG405" s="182">
        <f t="shared" si="1820"/>
        <v>0</v>
      </c>
      <c r="BH405" s="182"/>
      <c r="BI405" s="183">
        <f t="shared" si="1821"/>
        <v>0</v>
      </c>
      <c r="BJ405" s="182"/>
      <c r="BK405" s="183">
        <f t="shared" si="1822"/>
        <v>0</v>
      </c>
      <c r="BL405" s="182">
        <v>32</v>
      </c>
      <c r="BM405" s="182">
        <f t="shared" si="1823"/>
        <v>2419730.347560063</v>
      </c>
      <c r="BN405" s="182">
        <v>98</v>
      </c>
      <c r="BO405" s="182">
        <f t="shared" si="1824"/>
        <v>7007603.7662400007</v>
      </c>
      <c r="BP405" s="182"/>
      <c r="BQ405" s="182">
        <f t="shared" si="1825"/>
        <v>0</v>
      </c>
      <c r="BR405" s="182"/>
      <c r="BS405" s="183">
        <f t="shared" si="1826"/>
        <v>0</v>
      </c>
      <c r="BT405" s="182">
        <v>57</v>
      </c>
      <c r="BU405" s="182">
        <f t="shared" ref="BU405" si="1848">(BT405*$E405*$F405*$G405*$M405*$BU$12)/12*10+(BT405*$E405*$F405*$G405*$M405*$BU$13)/12+(BT405*$E405*$F405*$G405*$M405*$BU$13*$BU$15)/12</f>
        <v>4127730.5800240608</v>
      </c>
      <c r="BV405" s="182">
        <v>18</v>
      </c>
      <c r="BW405" s="182">
        <f t="shared" si="1828"/>
        <v>1053090.7329599999</v>
      </c>
      <c r="BX405" s="182">
        <v>51</v>
      </c>
      <c r="BY405" s="183">
        <f t="shared" si="1829"/>
        <v>4471259.4380341433</v>
      </c>
      <c r="BZ405" s="182">
        <v>76</v>
      </c>
      <c r="CA405" s="187">
        <f t="shared" si="1830"/>
        <v>6456765.8067410402</v>
      </c>
      <c r="CB405" s="182"/>
      <c r="CC405" s="182">
        <f t="shared" si="1831"/>
        <v>0</v>
      </c>
      <c r="CD405" s="182"/>
      <c r="CE405" s="182">
        <f t="shared" si="1832"/>
        <v>0</v>
      </c>
      <c r="CF405" s="182"/>
      <c r="CG405" s="182">
        <f t="shared" si="1833"/>
        <v>0</v>
      </c>
      <c r="CH405" s="182">
        <v>95</v>
      </c>
      <c r="CI405" s="182">
        <f t="shared" si="1834"/>
        <v>6882229.0891170595</v>
      </c>
      <c r="CJ405" s="182"/>
      <c r="CK405" s="182"/>
      <c r="CL405" s="182"/>
      <c r="CM405" s="183">
        <f t="shared" si="1835"/>
        <v>0</v>
      </c>
      <c r="CN405" s="182">
        <v>75</v>
      </c>
      <c r="CO405" s="183">
        <f t="shared" si="1836"/>
        <v>3250280.04</v>
      </c>
      <c r="CP405" s="182"/>
      <c r="CQ405" s="182">
        <f t="shared" si="1837"/>
        <v>0</v>
      </c>
      <c r="CR405" s="182">
        <v>76</v>
      </c>
      <c r="CS405" s="182">
        <f t="shared" si="1838"/>
        <v>4935766.5649337731</v>
      </c>
      <c r="CT405" s="182">
        <v>25</v>
      </c>
      <c r="CU405" s="182">
        <f t="shared" si="1839"/>
        <v>1421713.1179964999</v>
      </c>
      <c r="CV405" s="182">
        <v>239</v>
      </c>
      <c r="CW405" s="182">
        <v>15341321.599999944</v>
      </c>
      <c r="CX405" s="182"/>
      <c r="CY405" s="182">
        <f t="shared" si="1840"/>
        <v>0</v>
      </c>
      <c r="CZ405" s="182"/>
      <c r="DA405" s="182">
        <v>0</v>
      </c>
      <c r="DB405" s="188"/>
      <c r="DC405" s="182">
        <f t="shared" si="1841"/>
        <v>0</v>
      </c>
      <c r="DD405" s="182"/>
      <c r="DE405" s="187"/>
      <c r="DF405" s="182"/>
      <c r="DG405" s="182">
        <f t="shared" si="1842"/>
        <v>0</v>
      </c>
      <c r="DH405" s="189"/>
      <c r="DI405" s="182">
        <f t="shared" si="1843"/>
        <v>0</v>
      </c>
      <c r="DJ405" s="182">
        <v>59</v>
      </c>
      <c r="DK405" s="182">
        <f t="shared" si="1844"/>
        <v>4179327.6272267802</v>
      </c>
      <c r="DL405" s="182"/>
      <c r="DM405" s="182">
        <f t="shared" si="1845"/>
        <v>0</v>
      </c>
      <c r="DN405" s="182">
        <f>ROUND(15*0.75,0)</f>
        <v>11</v>
      </c>
      <c r="DO405" s="190">
        <f t="shared" si="1846"/>
        <v>1093874.0086999999</v>
      </c>
      <c r="DP405" s="187"/>
      <c r="DQ405" s="187"/>
      <c r="DR405" s="183">
        <f t="shared" si="1847"/>
        <v>2307</v>
      </c>
      <c r="DS405" s="183">
        <f t="shared" si="1847"/>
        <v>150584316.29349709</v>
      </c>
      <c r="DT405" s="182">
        <v>2312</v>
      </c>
      <c r="DU405" s="182">
        <v>146669041.39143997</v>
      </c>
      <c r="DV405" s="167">
        <f t="shared" si="1800"/>
        <v>-5</v>
      </c>
      <c r="DW405" s="167">
        <f t="shared" si="1800"/>
        <v>3915274.9020571113</v>
      </c>
    </row>
    <row r="406" spans="1:127" ht="15.75" customHeight="1" x14ac:dyDescent="0.25">
      <c r="A406" s="154"/>
      <c r="B406" s="176">
        <v>356</v>
      </c>
      <c r="C406" s="177" t="s">
        <v>881</v>
      </c>
      <c r="D406" s="210" t="s">
        <v>882</v>
      </c>
      <c r="E406" s="158">
        <v>25969</v>
      </c>
      <c r="F406" s="179">
        <v>2.14</v>
      </c>
      <c r="G406" s="168">
        <v>1</v>
      </c>
      <c r="H406" s="169"/>
      <c r="I406" s="169"/>
      <c r="J406" s="169"/>
      <c r="K406" s="106"/>
      <c r="L406" s="180">
        <v>1.4</v>
      </c>
      <c r="M406" s="180">
        <v>1.68</v>
      </c>
      <c r="N406" s="180">
        <v>2.23</v>
      </c>
      <c r="O406" s="181">
        <v>2.57</v>
      </c>
      <c r="P406" s="316">
        <v>4</v>
      </c>
      <c r="Q406" s="182">
        <f t="shared" si="1804"/>
        <v>342333.74560000002</v>
      </c>
      <c r="R406" s="182">
        <v>7</v>
      </c>
      <c r="S406" s="182">
        <f t="shared" si="1805"/>
        <v>599084.05480000004</v>
      </c>
      <c r="T406" s="182"/>
      <c r="U406" s="182">
        <f t="shared" si="1806"/>
        <v>0</v>
      </c>
      <c r="V406" s="182"/>
      <c r="W406" s="183">
        <f t="shared" si="1807"/>
        <v>0</v>
      </c>
      <c r="X406" s="183">
        <v>2</v>
      </c>
      <c r="Y406" s="183">
        <v>217848.74719999998</v>
      </c>
      <c r="Z406" s="183"/>
      <c r="AA406" s="183">
        <v>0</v>
      </c>
      <c r="AB406" s="182">
        <f t="shared" si="1808"/>
        <v>2</v>
      </c>
      <c r="AC406" s="182">
        <f t="shared" si="1808"/>
        <v>217848.74719999998</v>
      </c>
      <c r="AD406" s="182"/>
      <c r="AE406" s="182">
        <f t="shared" si="1809"/>
        <v>0</v>
      </c>
      <c r="AF406" s="182"/>
      <c r="AG406" s="182"/>
      <c r="AH406" s="182"/>
      <c r="AI406" s="182">
        <f t="shared" si="1810"/>
        <v>0</v>
      </c>
      <c r="AJ406" s="182"/>
      <c r="AK406" s="182"/>
      <c r="AL406" s="182"/>
      <c r="AM406" s="182"/>
      <c r="AN406" s="184"/>
      <c r="AO406" s="182">
        <f t="shared" si="1811"/>
        <v>0</v>
      </c>
      <c r="AP406" s="182"/>
      <c r="AQ406" s="183">
        <f t="shared" si="1812"/>
        <v>0</v>
      </c>
      <c r="AR406" s="182"/>
      <c r="AS406" s="182">
        <f t="shared" si="1813"/>
        <v>0</v>
      </c>
      <c r="AT406" s="182">
        <v>1</v>
      </c>
      <c r="AU406" s="182">
        <f t="shared" si="1814"/>
        <v>107592.3374352456</v>
      </c>
      <c r="AV406" s="188"/>
      <c r="AW406" s="182">
        <f t="shared" si="1815"/>
        <v>0</v>
      </c>
      <c r="AX406" s="182"/>
      <c r="AY406" s="187">
        <f t="shared" si="1816"/>
        <v>0</v>
      </c>
      <c r="AZ406" s="182"/>
      <c r="BA406" s="182">
        <f t="shared" si="1817"/>
        <v>0</v>
      </c>
      <c r="BB406" s="182"/>
      <c r="BC406" s="182">
        <f t="shared" si="1818"/>
        <v>0</v>
      </c>
      <c r="BD406" s="182"/>
      <c r="BE406" s="182">
        <f t="shared" si="1819"/>
        <v>0</v>
      </c>
      <c r="BF406" s="182"/>
      <c r="BG406" s="182">
        <f t="shared" si="1820"/>
        <v>0</v>
      </c>
      <c r="BH406" s="182"/>
      <c r="BI406" s="183">
        <f t="shared" si="1821"/>
        <v>0</v>
      </c>
      <c r="BJ406" s="182"/>
      <c r="BK406" s="183">
        <f t="shared" si="1822"/>
        <v>0</v>
      </c>
      <c r="BL406" s="182"/>
      <c r="BM406" s="182">
        <f t="shared" ref="BM406:BM412" si="1849">(BL406*$E406*$F406*$G406*$L406*$BM$12)</f>
        <v>0</v>
      </c>
      <c r="BN406" s="182"/>
      <c r="BO406" s="182">
        <f t="shared" si="1824"/>
        <v>0</v>
      </c>
      <c r="BP406" s="182"/>
      <c r="BQ406" s="182">
        <f t="shared" si="1825"/>
        <v>0</v>
      </c>
      <c r="BR406" s="182"/>
      <c r="BS406" s="183">
        <f t="shared" si="1826"/>
        <v>0</v>
      </c>
      <c r="BT406" s="182"/>
      <c r="BU406" s="182">
        <f t="shared" si="1827"/>
        <v>0</v>
      </c>
      <c r="BV406" s="182"/>
      <c r="BW406" s="182">
        <f t="shared" si="1828"/>
        <v>0</v>
      </c>
      <c r="BX406" s="182"/>
      <c r="BY406" s="183">
        <f t="shared" si="1829"/>
        <v>0</v>
      </c>
      <c r="BZ406" s="182"/>
      <c r="CA406" s="187">
        <f t="shared" si="1830"/>
        <v>0</v>
      </c>
      <c r="CB406" s="182"/>
      <c r="CC406" s="182">
        <f t="shared" si="1831"/>
        <v>0</v>
      </c>
      <c r="CD406" s="182"/>
      <c r="CE406" s="182">
        <f t="shared" si="1832"/>
        <v>0</v>
      </c>
      <c r="CF406" s="182"/>
      <c r="CG406" s="182">
        <f t="shared" si="1833"/>
        <v>0</v>
      </c>
      <c r="CH406" s="182"/>
      <c r="CI406" s="182">
        <f t="shared" si="1834"/>
        <v>0</v>
      </c>
      <c r="CJ406" s="182"/>
      <c r="CK406" s="182"/>
      <c r="CL406" s="182"/>
      <c r="CM406" s="183">
        <f t="shared" si="1835"/>
        <v>0</v>
      </c>
      <c r="CN406" s="182"/>
      <c r="CO406" s="183">
        <f t="shared" si="1836"/>
        <v>0</v>
      </c>
      <c r="CP406" s="182"/>
      <c r="CQ406" s="182">
        <f t="shared" si="1837"/>
        <v>0</v>
      </c>
      <c r="CR406" s="182"/>
      <c r="CS406" s="182">
        <f t="shared" si="1838"/>
        <v>0</v>
      </c>
      <c r="CT406" s="182"/>
      <c r="CU406" s="182">
        <f t="shared" si="1839"/>
        <v>0</v>
      </c>
      <c r="CV406" s="182"/>
      <c r="CW406" s="182">
        <v>0</v>
      </c>
      <c r="CX406" s="182"/>
      <c r="CY406" s="182">
        <f t="shared" si="1840"/>
        <v>0</v>
      </c>
      <c r="CZ406" s="182"/>
      <c r="DA406" s="182">
        <v>0</v>
      </c>
      <c r="DB406" s="188"/>
      <c r="DC406" s="182">
        <f t="shared" si="1841"/>
        <v>0</v>
      </c>
      <c r="DD406" s="182"/>
      <c r="DE406" s="187"/>
      <c r="DF406" s="182"/>
      <c r="DG406" s="182">
        <f t="shared" si="1842"/>
        <v>0</v>
      </c>
      <c r="DH406" s="189"/>
      <c r="DI406" s="182">
        <f t="shared" si="1843"/>
        <v>0</v>
      </c>
      <c r="DJ406" s="182"/>
      <c r="DK406" s="182">
        <f t="shared" ref="DK406:DK412" si="1850">(DJ406*$E406*$F406*$G406*$M406*$DK$12)</f>
        <v>0</v>
      </c>
      <c r="DL406" s="182"/>
      <c r="DM406" s="182">
        <f t="shared" si="1845"/>
        <v>0</v>
      </c>
      <c r="DN406" s="182"/>
      <c r="DO406" s="190">
        <f t="shared" si="1846"/>
        <v>0</v>
      </c>
      <c r="DP406" s="187"/>
      <c r="DQ406" s="187"/>
      <c r="DR406" s="183">
        <f t="shared" si="1847"/>
        <v>14</v>
      </c>
      <c r="DS406" s="183">
        <f t="shared" si="1847"/>
        <v>1266858.8850352457</v>
      </c>
      <c r="DT406" s="182">
        <v>12</v>
      </c>
      <c r="DU406" s="182">
        <v>1093133.8922000001</v>
      </c>
      <c r="DV406" s="167">
        <f t="shared" si="1800"/>
        <v>2</v>
      </c>
      <c r="DW406" s="167">
        <f t="shared" si="1800"/>
        <v>173724.99283524556</v>
      </c>
    </row>
    <row r="407" spans="1:127" ht="27.75" customHeight="1" x14ac:dyDescent="0.25">
      <c r="A407" s="154"/>
      <c r="B407" s="176">
        <v>357</v>
      </c>
      <c r="C407" s="177" t="s">
        <v>883</v>
      </c>
      <c r="D407" s="210" t="s">
        <v>884</v>
      </c>
      <c r="E407" s="158">
        <v>25969</v>
      </c>
      <c r="F407" s="179">
        <v>1.25</v>
      </c>
      <c r="G407" s="168">
        <v>1</v>
      </c>
      <c r="H407" s="169"/>
      <c r="I407" s="169"/>
      <c r="J407" s="169"/>
      <c r="K407" s="106"/>
      <c r="L407" s="180">
        <v>1.4</v>
      </c>
      <c r="M407" s="180">
        <v>1.68</v>
      </c>
      <c r="N407" s="180">
        <v>2.23</v>
      </c>
      <c r="O407" s="181">
        <v>2.57</v>
      </c>
      <c r="P407" s="316">
        <v>84</v>
      </c>
      <c r="Q407" s="182">
        <f t="shared" si="1804"/>
        <v>4199187.3</v>
      </c>
      <c r="R407" s="182"/>
      <c r="S407" s="182">
        <f t="shared" si="1805"/>
        <v>0</v>
      </c>
      <c r="T407" s="182"/>
      <c r="U407" s="182">
        <f t="shared" si="1806"/>
        <v>0</v>
      </c>
      <c r="V407" s="182"/>
      <c r="W407" s="183">
        <f t="shared" si="1807"/>
        <v>0</v>
      </c>
      <c r="X407" s="183"/>
      <c r="Y407" s="183">
        <v>0</v>
      </c>
      <c r="Z407" s="183"/>
      <c r="AA407" s="183">
        <v>0</v>
      </c>
      <c r="AB407" s="182">
        <f t="shared" si="1808"/>
        <v>0</v>
      </c>
      <c r="AC407" s="182">
        <f t="shared" si="1808"/>
        <v>0</v>
      </c>
      <c r="AD407" s="182"/>
      <c r="AE407" s="182">
        <f t="shared" si="1809"/>
        <v>0</v>
      </c>
      <c r="AF407" s="182"/>
      <c r="AG407" s="182"/>
      <c r="AH407" s="182"/>
      <c r="AI407" s="182">
        <f t="shared" si="1810"/>
        <v>0</v>
      </c>
      <c r="AJ407" s="182"/>
      <c r="AK407" s="182"/>
      <c r="AL407" s="182"/>
      <c r="AM407" s="182"/>
      <c r="AN407" s="184"/>
      <c r="AO407" s="182">
        <f t="shared" si="1811"/>
        <v>0</v>
      </c>
      <c r="AP407" s="182">
        <v>8</v>
      </c>
      <c r="AQ407" s="183">
        <f t="shared" si="1812"/>
        <v>399922.60000000003</v>
      </c>
      <c r="AR407" s="182">
        <v>3</v>
      </c>
      <c r="AS407" s="182">
        <f t="shared" si="1813"/>
        <v>161898.21208750003</v>
      </c>
      <c r="AT407" s="182">
        <v>4</v>
      </c>
      <c r="AU407" s="182">
        <f t="shared" si="1814"/>
        <v>251383.96597020002</v>
      </c>
      <c r="AV407" s="188"/>
      <c r="AW407" s="182">
        <f t="shared" si="1815"/>
        <v>0</v>
      </c>
      <c r="AX407" s="182">
        <v>1</v>
      </c>
      <c r="AY407" s="187">
        <f t="shared" si="1816"/>
        <v>59988.390000000007</v>
      </c>
      <c r="AZ407" s="182"/>
      <c r="BA407" s="182">
        <f t="shared" si="1817"/>
        <v>0</v>
      </c>
      <c r="BB407" s="182"/>
      <c r="BC407" s="182">
        <f t="shared" si="1818"/>
        <v>0</v>
      </c>
      <c r="BD407" s="182"/>
      <c r="BE407" s="182">
        <f t="shared" si="1819"/>
        <v>0</v>
      </c>
      <c r="BF407" s="182"/>
      <c r="BG407" s="182">
        <f t="shared" si="1820"/>
        <v>0</v>
      </c>
      <c r="BH407" s="182"/>
      <c r="BI407" s="183">
        <f t="shared" si="1821"/>
        <v>0</v>
      </c>
      <c r="BJ407" s="182"/>
      <c r="BK407" s="183">
        <f t="shared" si="1822"/>
        <v>0</v>
      </c>
      <c r="BL407" s="182"/>
      <c r="BM407" s="182">
        <f t="shared" si="1849"/>
        <v>0</v>
      </c>
      <c r="BN407" s="182"/>
      <c r="BO407" s="182">
        <f t="shared" si="1824"/>
        <v>0</v>
      </c>
      <c r="BP407" s="182"/>
      <c r="BQ407" s="182">
        <f t="shared" si="1825"/>
        <v>0</v>
      </c>
      <c r="BR407" s="182"/>
      <c r="BS407" s="183">
        <f t="shared" si="1826"/>
        <v>0</v>
      </c>
      <c r="BT407" s="182"/>
      <c r="BU407" s="182">
        <f t="shared" si="1827"/>
        <v>0</v>
      </c>
      <c r="BV407" s="182">
        <v>3</v>
      </c>
      <c r="BW407" s="182">
        <f t="shared" si="1828"/>
        <v>147244.22999999998</v>
      </c>
      <c r="BX407" s="182">
        <v>6</v>
      </c>
      <c r="BY407" s="183">
        <f t="shared" si="1829"/>
        <v>441300.77359199995</v>
      </c>
      <c r="BZ407" s="182">
        <v>10</v>
      </c>
      <c r="CA407" s="187">
        <f t="shared" si="1830"/>
        <v>712730.24182499992</v>
      </c>
      <c r="CB407" s="182"/>
      <c r="CC407" s="182">
        <f t="shared" si="1831"/>
        <v>0</v>
      </c>
      <c r="CD407" s="182"/>
      <c r="CE407" s="182">
        <f t="shared" si="1832"/>
        <v>0</v>
      </c>
      <c r="CF407" s="182"/>
      <c r="CG407" s="182">
        <f t="shared" si="1833"/>
        <v>0</v>
      </c>
      <c r="CH407" s="182"/>
      <c r="CI407" s="182">
        <f t="shared" ref="CI407:CI412" si="1851">(CH407*$E407*$F407*$G407*$M407*$CI$12)</f>
        <v>0</v>
      </c>
      <c r="CJ407" s="182"/>
      <c r="CK407" s="182"/>
      <c r="CL407" s="182"/>
      <c r="CM407" s="183">
        <f t="shared" si="1835"/>
        <v>0</v>
      </c>
      <c r="CN407" s="182"/>
      <c r="CO407" s="183">
        <f t="shared" si="1836"/>
        <v>0</v>
      </c>
      <c r="CP407" s="182"/>
      <c r="CQ407" s="182">
        <f t="shared" si="1837"/>
        <v>0</v>
      </c>
      <c r="CR407" s="182">
        <v>2</v>
      </c>
      <c r="CS407" s="182">
        <f t="shared" si="1838"/>
        <v>108966.94111916666</v>
      </c>
      <c r="CT407" s="182"/>
      <c r="CU407" s="182">
        <f t="shared" si="1839"/>
        <v>0</v>
      </c>
      <c r="CV407" s="182">
        <v>1</v>
      </c>
      <c r="CW407" s="182">
        <v>54534.9</v>
      </c>
      <c r="CX407" s="182"/>
      <c r="CY407" s="182">
        <f t="shared" si="1840"/>
        <v>0</v>
      </c>
      <c r="CZ407" s="182"/>
      <c r="DA407" s="182">
        <v>0</v>
      </c>
      <c r="DB407" s="188"/>
      <c r="DC407" s="182">
        <f t="shared" si="1841"/>
        <v>0</v>
      </c>
      <c r="DD407" s="182"/>
      <c r="DE407" s="187"/>
      <c r="DF407" s="182"/>
      <c r="DG407" s="182">
        <f t="shared" si="1842"/>
        <v>0</v>
      </c>
      <c r="DH407" s="189"/>
      <c r="DI407" s="182">
        <f t="shared" si="1843"/>
        <v>0</v>
      </c>
      <c r="DJ407" s="182"/>
      <c r="DK407" s="182">
        <f t="shared" si="1850"/>
        <v>0</v>
      </c>
      <c r="DL407" s="182"/>
      <c r="DM407" s="182">
        <f t="shared" si="1845"/>
        <v>0</v>
      </c>
      <c r="DN407" s="182"/>
      <c r="DO407" s="190">
        <f t="shared" si="1846"/>
        <v>0</v>
      </c>
      <c r="DP407" s="187"/>
      <c r="DQ407" s="187"/>
      <c r="DR407" s="183">
        <f t="shared" si="1847"/>
        <v>122</v>
      </c>
      <c r="DS407" s="183">
        <f t="shared" si="1847"/>
        <v>6537157.5545938658</v>
      </c>
      <c r="DT407" s="182">
        <v>122</v>
      </c>
      <c r="DU407" s="182">
        <v>6402927.4604166653</v>
      </c>
      <c r="DV407" s="167">
        <f t="shared" si="1800"/>
        <v>0</v>
      </c>
      <c r="DW407" s="167">
        <f t="shared" si="1800"/>
        <v>134230.09417720046</v>
      </c>
    </row>
    <row r="408" spans="1:127" ht="27.75" customHeight="1" x14ac:dyDescent="0.25">
      <c r="A408" s="154"/>
      <c r="B408" s="176">
        <v>358</v>
      </c>
      <c r="C408" s="177" t="s">
        <v>885</v>
      </c>
      <c r="D408" s="210" t="s">
        <v>886</v>
      </c>
      <c r="E408" s="158">
        <v>25969</v>
      </c>
      <c r="F408" s="179">
        <v>2.76</v>
      </c>
      <c r="G408" s="168">
        <v>1</v>
      </c>
      <c r="H408" s="169"/>
      <c r="I408" s="169"/>
      <c r="J408" s="169"/>
      <c r="K408" s="106"/>
      <c r="L408" s="180">
        <v>1.4</v>
      </c>
      <c r="M408" s="180">
        <v>1.68</v>
      </c>
      <c r="N408" s="180">
        <v>2.23</v>
      </c>
      <c r="O408" s="181">
        <v>2.57</v>
      </c>
      <c r="P408" s="316">
        <v>5</v>
      </c>
      <c r="Q408" s="182">
        <f t="shared" si="1804"/>
        <v>551893.18799999997</v>
      </c>
      <c r="R408" s="182"/>
      <c r="S408" s="182">
        <f t="shared" si="1805"/>
        <v>0</v>
      </c>
      <c r="T408" s="182"/>
      <c r="U408" s="182">
        <f t="shared" si="1806"/>
        <v>0</v>
      </c>
      <c r="V408" s="182"/>
      <c r="W408" s="183">
        <f t="shared" si="1807"/>
        <v>0</v>
      </c>
      <c r="X408" s="183"/>
      <c r="Y408" s="183">
        <v>0</v>
      </c>
      <c r="Z408" s="183"/>
      <c r="AA408" s="183">
        <v>0</v>
      </c>
      <c r="AB408" s="182">
        <f t="shared" si="1808"/>
        <v>0</v>
      </c>
      <c r="AC408" s="182">
        <f t="shared" si="1808"/>
        <v>0</v>
      </c>
      <c r="AD408" s="182"/>
      <c r="AE408" s="182">
        <f t="shared" si="1809"/>
        <v>0</v>
      </c>
      <c r="AF408" s="182"/>
      <c r="AG408" s="182"/>
      <c r="AH408" s="182"/>
      <c r="AI408" s="182">
        <f t="shared" si="1810"/>
        <v>0</v>
      </c>
      <c r="AJ408" s="182"/>
      <c r="AK408" s="182"/>
      <c r="AL408" s="182"/>
      <c r="AM408" s="182"/>
      <c r="AN408" s="184"/>
      <c r="AO408" s="182">
        <f t="shared" si="1811"/>
        <v>0</v>
      </c>
      <c r="AP408" s="182"/>
      <c r="AQ408" s="183">
        <f t="shared" si="1812"/>
        <v>0</v>
      </c>
      <c r="AR408" s="182"/>
      <c r="AS408" s="182">
        <f t="shared" si="1813"/>
        <v>0</v>
      </c>
      <c r="AT408" s="182">
        <v>2</v>
      </c>
      <c r="AU408" s="182">
        <f t="shared" si="1814"/>
        <v>277527.89843110077</v>
      </c>
      <c r="AV408" s="188"/>
      <c r="AW408" s="182">
        <f t="shared" si="1815"/>
        <v>0</v>
      </c>
      <c r="AX408" s="182"/>
      <c r="AY408" s="187">
        <f t="shared" si="1816"/>
        <v>0</v>
      </c>
      <c r="AZ408" s="182"/>
      <c r="BA408" s="182">
        <f t="shared" si="1817"/>
        <v>0</v>
      </c>
      <c r="BB408" s="182"/>
      <c r="BC408" s="182">
        <f t="shared" si="1818"/>
        <v>0</v>
      </c>
      <c r="BD408" s="182"/>
      <c r="BE408" s="182">
        <f t="shared" si="1819"/>
        <v>0</v>
      </c>
      <c r="BF408" s="182"/>
      <c r="BG408" s="182">
        <f t="shared" si="1820"/>
        <v>0</v>
      </c>
      <c r="BH408" s="182"/>
      <c r="BI408" s="183">
        <f t="shared" si="1821"/>
        <v>0</v>
      </c>
      <c r="BJ408" s="182"/>
      <c r="BK408" s="183">
        <f t="shared" si="1822"/>
        <v>0</v>
      </c>
      <c r="BL408" s="182"/>
      <c r="BM408" s="182">
        <f t="shared" si="1849"/>
        <v>0</v>
      </c>
      <c r="BN408" s="182"/>
      <c r="BO408" s="182">
        <f t="shared" si="1824"/>
        <v>0</v>
      </c>
      <c r="BP408" s="182"/>
      <c r="BQ408" s="182">
        <f t="shared" si="1825"/>
        <v>0</v>
      </c>
      <c r="BR408" s="182"/>
      <c r="BS408" s="183">
        <f t="shared" si="1826"/>
        <v>0</v>
      </c>
      <c r="BT408" s="182"/>
      <c r="BU408" s="182">
        <f t="shared" si="1827"/>
        <v>0</v>
      </c>
      <c r="BV408" s="182">
        <v>2</v>
      </c>
      <c r="BW408" s="182">
        <f t="shared" si="1828"/>
        <v>216743.50655999995</v>
      </c>
      <c r="BX408" s="182"/>
      <c r="BY408" s="183">
        <f t="shared" si="1829"/>
        <v>0</v>
      </c>
      <c r="BZ408" s="182"/>
      <c r="CA408" s="187">
        <f t="shared" si="1830"/>
        <v>0</v>
      </c>
      <c r="CB408" s="182"/>
      <c r="CC408" s="182">
        <f t="shared" si="1831"/>
        <v>0</v>
      </c>
      <c r="CD408" s="182"/>
      <c r="CE408" s="182">
        <f t="shared" si="1832"/>
        <v>0</v>
      </c>
      <c r="CF408" s="182"/>
      <c r="CG408" s="182">
        <f t="shared" si="1833"/>
        <v>0</v>
      </c>
      <c r="CH408" s="182"/>
      <c r="CI408" s="182">
        <f t="shared" si="1851"/>
        <v>0</v>
      </c>
      <c r="CJ408" s="182"/>
      <c r="CK408" s="182"/>
      <c r="CL408" s="182"/>
      <c r="CM408" s="183">
        <f t="shared" si="1835"/>
        <v>0</v>
      </c>
      <c r="CN408" s="182"/>
      <c r="CO408" s="183">
        <f t="shared" si="1836"/>
        <v>0</v>
      </c>
      <c r="CP408" s="182"/>
      <c r="CQ408" s="182">
        <f t="shared" si="1837"/>
        <v>0</v>
      </c>
      <c r="CR408" s="182"/>
      <c r="CS408" s="182">
        <f t="shared" ref="CS408:CS412" si="1852">(CR408*$E408*$F408*$G408*$L408*$CS$12)</f>
        <v>0</v>
      </c>
      <c r="CT408" s="182"/>
      <c r="CU408" s="182">
        <f t="shared" si="1839"/>
        <v>0</v>
      </c>
      <c r="CV408" s="182"/>
      <c r="CW408" s="182">
        <v>0</v>
      </c>
      <c r="CX408" s="182"/>
      <c r="CY408" s="182">
        <f t="shared" si="1840"/>
        <v>0</v>
      </c>
      <c r="CZ408" s="182"/>
      <c r="DA408" s="182">
        <v>0</v>
      </c>
      <c r="DB408" s="188"/>
      <c r="DC408" s="182">
        <f t="shared" si="1841"/>
        <v>0</v>
      </c>
      <c r="DD408" s="182"/>
      <c r="DE408" s="187"/>
      <c r="DF408" s="182"/>
      <c r="DG408" s="182">
        <f t="shared" si="1842"/>
        <v>0</v>
      </c>
      <c r="DH408" s="189"/>
      <c r="DI408" s="182">
        <f t="shared" si="1843"/>
        <v>0</v>
      </c>
      <c r="DJ408" s="182"/>
      <c r="DK408" s="182">
        <f t="shared" si="1850"/>
        <v>0</v>
      </c>
      <c r="DL408" s="182"/>
      <c r="DM408" s="182">
        <f t="shared" si="1845"/>
        <v>0</v>
      </c>
      <c r="DN408" s="182"/>
      <c r="DO408" s="190">
        <f t="shared" si="1846"/>
        <v>0</v>
      </c>
      <c r="DP408" s="187"/>
      <c r="DQ408" s="187"/>
      <c r="DR408" s="183">
        <f t="shared" si="1847"/>
        <v>9</v>
      </c>
      <c r="DS408" s="183">
        <f t="shared" si="1847"/>
        <v>1046164.5929911006</v>
      </c>
      <c r="DT408" s="182">
        <v>9</v>
      </c>
      <c r="DU408" s="182">
        <v>1039566.0777599998</v>
      </c>
      <c r="DV408" s="167">
        <f t="shared" si="1800"/>
        <v>0</v>
      </c>
      <c r="DW408" s="167">
        <f t="shared" si="1800"/>
        <v>6598.5152311008424</v>
      </c>
    </row>
    <row r="409" spans="1:127" ht="45" customHeight="1" x14ac:dyDescent="0.25">
      <c r="A409" s="154"/>
      <c r="B409" s="176">
        <v>359</v>
      </c>
      <c r="C409" s="177" t="s">
        <v>887</v>
      </c>
      <c r="D409" s="210" t="s">
        <v>888</v>
      </c>
      <c r="E409" s="158">
        <v>25969</v>
      </c>
      <c r="F409" s="179">
        <v>0.76</v>
      </c>
      <c r="G409" s="168">
        <v>1</v>
      </c>
      <c r="H409" s="169"/>
      <c r="I409" s="169"/>
      <c r="J409" s="169"/>
      <c r="K409" s="106"/>
      <c r="L409" s="180">
        <v>1.4</v>
      </c>
      <c r="M409" s="180">
        <v>1.68</v>
      </c>
      <c r="N409" s="180">
        <v>2.23</v>
      </c>
      <c r="O409" s="181">
        <v>2.57</v>
      </c>
      <c r="P409" s="316">
        <v>7</v>
      </c>
      <c r="Q409" s="182">
        <f t="shared" si="1804"/>
        <v>212758.82319999998</v>
      </c>
      <c r="R409" s="182">
        <v>2</v>
      </c>
      <c r="S409" s="182">
        <f t="shared" si="1805"/>
        <v>60788.235199999996</v>
      </c>
      <c r="T409" s="182">
        <v>3</v>
      </c>
      <c r="U409" s="182">
        <f t="shared" si="1806"/>
        <v>104652.47309999999</v>
      </c>
      <c r="V409" s="182"/>
      <c r="W409" s="183">
        <f t="shared" si="1807"/>
        <v>0</v>
      </c>
      <c r="X409" s="183"/>
      <c r="Y409" s="183">
        <v>0</v>
      </c>
      <c r="Z409" s="183"/>
      <c r="AA409" s="183">
        <v>0</v>
      </c>
      <c r="AB409" s="182">
        <f t="shared" si="1808"/>
        <v>0</v>
      </c>
      <c r="AC409" s="182">
        <f t="shared" si="1808"/>
        <v>0</v>
      </c>
      <c r="AD409" s="182"/>
      <c r="AE409" s="182">
        <f t="shared" si="1809"/>
        <v>0</v>
      </c>
      <c r="AF409" s="182"/>
      <c r="AG409" s="182"/>
      <c r="AH409" s="182"/>
      <c r="AI409" s="182">
        <f t="shared" si="1810"/>
        <v>0</v>
      </c>
      <c r="AJ409" s="182"/>
      <c r="AK409" s="182"/>
      <c r="AL409" s="182"/>
      <c r="AM409" s="182"/>
      <c r="AN409" s="184"/>
      <c r="AO409" s="182">
        <f t="shared" si="1811"/>
        <v>0</v>
      </c>
      <c r="AP409" s="182"/>
      <c r="AQ409" s="183">
        <f t="shared" si="1812"/>
        <v>0</v>
      </c>
      <c r="AR409" s="182"/>
      <c r="AS409" s="182">
        <f t="shared" si="1813"/>
        <v>0</v>
      </c>
      <c r="AT409" s="182"/>
      <c r="AU409" s="182">
        <f t="shared" si="1814"/>
        <v>0</v>
      </c>
      <c r="AV409" s="188"/>
      <c r="AW409" s="182">
        <f t="shared" si="1815"/>
        <v>0</v>
      </c>
      <c r="AX409" s="182"/>
      <c r="AY409" s="187">
        <f t="shared" si="1816"/>
        <v>0</v>
      </c>
      <c r="AZ409" s="182"/>
      <c r="BA409" s="182">
        <f t="shared" si="1817"/>
        <v>0</v>
      </c>
      <c r="BB409" s="182"/>
      <c r="BC409" s="182">
        <f t="shared" si="1818"/>
        <v>0</v>
      </c>
      <c r="BD409" s="182"/>
      <c r="BE409" s="182">
        <f t="shared" si="1819"/>
        <v>0</v>
      </c>
      <c r="BF409" s="182"/>
      <c r="BG409" s="182">
        <f t="shared" si="1820"/>
        <v>0</v>
      </c>
      <c r="BH409" s="182"/>
      <c r="BI409" s="183">
        <f t="shared" si="1821"/>
        <v>0</v>
      </c>
      <c r="BJ409" s="182"/>
      <c r="BK409" s="183">
        <f t="shared" si="1822"/>
        <v>0</v>
      </c>
      <c r="BL409" s="182"/>
      <c r="BM409" s="182">
        <f t="shared" si="1849"/>
        <v>0</v>
      </c>
      <c r="BN409" s="182"/>
      <c r="BO409" s="182">
        <f t="shared" si="1824"/>
        <v>0</v>
      </c>
      <c r="BP409" s="182"/>
      <c r="BQ409" s="182">
        <f t="shared" si="1825"/>
        <v>0</v>
      </c>
      <c r="BR409" s="182"/>
      <c r="BS409" s="183">
        <f t="shared" si="1826"/>
        <v>0</v>
      </c>
      <c r="BT409" s="182"/>
      <c r="BU409" s="182">
        <f t="shared" si="1827"/>
        <v>0</v>
      </c>
      <c r="BV409" s="182"/>
      <c r="BW409" s="182">
        <f t="shared" si="1828"/>
        <v>0</v>
      </c>
      <c r="BX409" s="182">
        <v>2</v>
      </c>
      <c r="BY409" s="183">
        <f t="shared" si="1829"/>
        <v>89436.956781312008</v>
      </c>
      <c r="BZ409" s="182"/>
      <c r="CA409" s="187">
        <f t="shared" si="1830"/>
        <v>0</v>
      </c>
      <c r="CB409" s="182"/>
      <c r="CC409" s="182">
        <f t="shared" si="1831"/>
        <v>0</v>
      </c>
      <c r="CD409" s="182"/>
      <c r="CE409" s="182">
        <f t="shared" si="1832"/>
        <v>0</v>
      </c>
      <c r="CF409" s="182"/>
      <c r="CG409" s="182">
        <f t="shared" si="1833"/>
        <v>0</v>
      </c>
      <c r="CH409" s="182"/>
      <c r="CI409" s="182">
        <f t="shared" si="1851"/>
        <v>0</v>
      </c>
      <c r="CJ409" s="182"/>
      <c r="CK409" s="182"/>
      <c r="CL409" s="182"/>
      <c r="CM409" s="183">
        <f t="shared" si="1835"/>
        <v>0</v>
      </c>
      <c r="CN409" s="182"/>
      <c r="CO409" s="183">
        <f t="shared" si="1836"/>
        <v>0</v>
      </c>
      <c r="CP409" s="182"/>
      <c r="CQ409" s="182">
        <f t="shared" si="1837"/>
        <v>0</v>
      </c>
      <c r="CR409" s="182"/>
      <c r="CS409" s="182">
        <f t="shared" si="1852"/>
        <v>0</v>
      </c>
      <c r="CT409" s="182"/>
      <c r="CU409" s="182">
        <f t="shared" si="1839"/>
        <v>0</v>
      </c>
      <c r="CV409" s="182"/>
      <c r="CW409" s="182">
        <v>0</v>
      </c>
      <c r="CX409" s="182"/>
      <c r="CY409" s="182">
        <f t="shared" si="1840"/>
        <v>0</v>
      </c>
      <c r="CZ409" s="182"/>
      <c r="DA409" s="182">
        <v>0</v>
      </c>
      <c r="DB409" s="188"/>
      <c r="DC409" s="182">
        <f t="shared" si="1841"/>
        <v>0</v>
      </c>
      <c r="DD409" s="182"/>
      <c r="DE409" s="187"/>
      <c r="DF409" s="182"/>
      <c r="DG409" s="182">
        <f t="shared" si="1842"/>
        <v>0</v>
      </c>
      <c r="DH409" s="189"/>
      <c r="DI409" s="182">
        <f t="shared" si="1843"/>
        <v>0</v>
      </c>
      <c r="DJ409" s="182"/>
      <c r="DK409" s="182">
        <f t="shared" si="1850"/>
        <v>0</v>
      </c>
      <c r="DL409" s="182"/>
      <c r="DM409" s="182">
        <f t="shared" si="1845"/>
        <v>0</v>
      </c>
      <c r="DN409" s="182"/>
      <c r="DO409" s="190">
        <f t="shared" si="1846"/>
        <v>0</v>
      </c>
      <c r="DP409" s="187"/>
      <c r="DQ409" s="187"/>
      <c r="DR409" s="183">
        <f t="shared" si="1847"/>
        <v>14</v>
      </c>
      <c r="DS409" s="183">
        <f t="shared" si="1847"/>
        <v>467636.48828131199</v>
      </c>
      <c r="DT409" s="182">
        <v>15</v>
      </c>
      <c r="DU409" s="182">
        <v>487134.81207999995</v>
      </c>
      <c r="DV409" s="167">
        <f t="shared" si="1800"/>
        <v>-1</v>
      </c>
      <c r="DW409" s="167">
        <f t="shared" si="1800"/>
        <v>-19498.323798687954</v>
      </c>
    </row>
    <row r="410" spans="1:127" ht="15.75" customHeight="1" x14ac:dyDescent="0.25">
      <c r="A410" s="154"/>
      <c r="B410" s="176">
        <v>360</v>
      </c>
      <c r="C410" s="177" t="s">
        <v>889</v>
      </c>
      <c r="D410" s="210" t="s">
        <v>890</v>
      </c>
      <c r="E410" s="158">
        <v>25969</v>
      </c>
      <c r="F410" s="179">
        <v>1.06</v>
      </c>
      <c r="G410" s="168">
        <v>1</v>
      </c>
      <c r="H410" s="169"/>
      <c r="I410" s="169"/>
      <c r="J410" s="169"/>
      <c r="K410" s="106"/>
      <c r="L410" s="180">
        <v>1.4</v>
      </c>
      <c r="M410" s="180">
        <v>1.68</v>
      </c>
      <c r="N410" s="180">
        <v>2.23</v>
      </c>
      <c r="O410" s="181">
        <v>2.57</v>
      </c>
      <c r="P410" s="316">
        <v>16</v>
      </c>
      <c r="Q410" s="182">
        <f t="shared" si="1804"/>
        <v>678268.72960000008</v>
      </c>
      <c r="R410" s="182"/>
      <c r="S410" s="182">
        <f t="shared" si="1805"/>
        <v>0</v>
      </c>
      <c r="T410" s="182">
        <v>108</v>
      </c>
      <c r="U410" s="182">
        <f t="shared" si="1806"/>
        <v>5254655.7546000006</v>
      </c>
      <c r="V410" s="182"/>
      <c r="W410" s="183">
        <f t="shared" si="1807"/>
        <v>0</v>
      </c>
      <c r="X410" s="183"/>
      <c r="Y410" s="183">
        <v>0</v>
      </c>
      <c r="Z410" s="183"/>
      <c r="AA410" s="183">
        <v>0</v>
      </c>
      <c r="AB410" s="182">
        <f t="shared" si="1808"/>
        <v>0</v>
      </c>
      <c r="AC410" s="182">
        <f t="shared" si="1808"/>
        <v>0</v>
      </c>
      <c r="AD410" s="182"/>
      <c r="AE410" s="182">
        <f t="shared" si="1809"/>
        <v>0</v>
      </c>
      <c r="AF410" s="182"/>
      <c r="AG410" s="182"/>
      <c r="AH410" s="182"/>
      <c r="AI410" s="182">
        <f t="shared" si="1810"/>
        <v>0</v>
      </c>
      <c r="AJ410" s="182"/>
      <c r="AK410" s="182"/>
      <c r="AL410" s="182"/>
      <c r="AM410" s="182"/>
      <c r="AN410" s="184"/>
      <c r="AO410" s="182">
        <f t="shared" si="1811"/>
        <v>0</v>
      </c>
      <c r="AP410" s="182"/>
      <c r="AQ410" s="183">
        <f t="shared" si="1812"/>
        <v>0</v>
      </c>
      <c r="AR410" s="182">
        <v>1</v>
      </c>
      <c r="AS410" s="182">
        <f t="shared" si="1813"/>
        <v>45763.22795006667</v>
      </c>
      <c r="AT410" s="182">
        <v>2</v>
      </c>
      <c r="AU410" s="182">
        <f t="shared" si="1814"/>
        <v>106586.80157136481</v>
      </c>
      <c r="AV410" s="188"/>
      <c r="AW410" s="182">
        <f t="shared" si="1815"/>
        <v>0</v>
      </c>
      <c r="AX410" s="182"/>
      <c r="AY410" s="187">
        <f t="shared" si="1816"/>
        <v>0</v>
      </c>
      <c r="AZ410" s="182"/>
      <c r="BA410" s="182">
        <f t="shared" si="1817"/>
        <v>0</v>
      </c>
      <c r="BB410" s="182"/>
      <c r="BC410" s="182">
        <f t="shared" si="1818"/>
        <v>0</v>
      </c>
      <c r="BD410" s="182"/>
      <c r="BE410" s="182">
        <f t="shared" si="1819"/>
        <v>0</v>
      </c>
      <c r="BF410" s="182"/>
      <c r="BG410" s="182">
        <f t="shared" si="1820"/>
        <v>0</v>
      </c>
      <c r="BH410" s="182"/>
      <c r="BI410" s="183">
        <f t="shared" si="1821"/>
        <v>0</v>
      </c>
      <c r="BJ410" s="182"/>
      <c r="BK410" s="183">
        <f t="shared" si="1822"/>
        <v>0</v>
      </c>
      <c r="BL410" s="182"/>
      <c r="BM410" s="182">
        <f t="shared" si="1849"/>
        <v>0</v>
      </c>
      <c r="BN410" s="182">
        <v>3</v>
      </c>
      <c r="BO410" s="182">
        <f t="shared" si="1824"/>
        <v>152610.46416</v>
      </c>
      <c r="BP410" s="182">
        <v>3</v>
      </c>
      <c r="BQ410" s="182">
        <f t="shared" ref="BQ410:BQ412" si="1853">(BP410/12*11*$E410*$F410*$G410*$M410*$BQ$12)+(BP410/12*$E410*$F410*$G410*$M410*$BQ$14*$BQ$15)</f>
        <v>149207.13519524402</v>
      </c>
      <c r="BR410" s="182"/>
      <c r="BS410" s="183">
        <f t="shared" si="1826"/>
        <v>0</v>
      </c>
      <c r="BT410" s="182"/>
      <c r="BU410" s="182">
        <f t="shared" si="1827"/>
        <v>0</v>
      </c>
      <c r="BV410" s="182">
        <v>1</v>
      </c>
      <c r="BW410" s="182">
        <f t="shared" si="1828"/>
        <v>41621.035680000001</v>
      </c>
      <c r="BX410" s="182">
        <v>2</v>
      </c>
      <c r="BY410" s="183">
        <f t="shared" si="1829"/>
        <v>124741.018668672</v>
      </c>
      <c r="BZ410" s="182">
        <v>50</v>
      </c>
      <c r="CA410" s="187">
        <f t="shared" si="1830"/>
        <v>3021976.2253379999</v>
      </c>
      <c r="CB410" s="182"/>
      <c r="CC410" s="182">
        <f t="shared" si="1831"/>
        <v>0</v>
      </c>
      <c r="CD410" s="182">
        <v>75</v>
      </c>
      <c r="CE410" s="182">
        <f t="shared" si="1832"/>
        <v>2890349.6999999997</v>
      </c>
      <c r="CF410" s="182"/>
      <c r="CG410" s="182">
        <f t="shared" si="1833"/>
        <v>0</v>
      </c>
      <c r="CH410" s="182">
        <v>2</v>
      </c>
      <c r="CI410" s="182">
        <f t="shared" ref="CI410:CI411" si="1854">(CH410*$E410*$F410*$G410*$M410*$CI$12)/12*11+(CH410*$E410*$F410*$G410*$M410*$CI$12*$CI$15)/12</f>
        <v>103075.41977342402</v>
      </c>
      <c r="CJ410" s="182"/>
      <c r="CK410" s="182"/>
      <c r="CL410" s="182"/>
      <c r="CM410" s="183">
        <f t="shared" si="1835"/>
        <v>0</v>
      </c>
      <c r="CN410" s="182"/>
      <c r="CO410" s="183">
        <f t="shared" si="1836"/>
        <v>0</v>
      </c>
      <c r="CP410" s="182"/>
      <c r="CQ410" s="182">
        <f t="shared" si="1837"/>
        <v>0</v>
      </c>
      <c r="CR410" s="182"/>
      <c r="CS410" s="182">
        <f t="shared" si="1852"/>
        <v>0</v>
      </c>
      <c r="CT410" s="182">
        <v>3</v>
      </c>
      <c r="CU410" s="182">
        <f t="shared" si="1839"/>
        <v>121370.40846251998</v>
      </c>
      <c r="CV410" s="182">
        <v>1</v>
      </c>
      <c r="CW410" s="182">
        <v>54971.18</v>
      </c>
      <c r="CX410" s="182"/>
      <c r="CY410" s="182">
        <f t="shared" si="1840"/>
        <v>0</v>
      </c>
      <c r="CZ410" s="182"/>
      <c r="DA410" s="182">
        <v>0</v>
      </c>
      <c r="DB410" s="188"/>
      <c r="DC410" s="182">
        <f t="shared" si="1841"/>
        <v>0</v>
      </c>
      <c r="DD410" s="182"/>
      <c r="DE410" s="187"/>
      <c r="DF410" s="182"/>
      <c r="DG410" s="182">
        <f t="shared" si="1842"/>
        <v>0</v>
      </c>
      <c r="DH410" s="189"/>
      <c r="DI410" s="182">
        <f t="shared" si="1843"/>
        <v>0</v>
      </c>
      <c r="DJ410" s="182"/>
      <c r="DK410" s="182">
        <f>(DJ410/12*11*$E410*$F410*$G410*$M410*$DK$12)+(DJ410/12*1*$E410*$F410*$M410*$G410*$DK$12*$DK$15)</f>
        <v>0</v>
      </c>
      <c r="DL410" s="182"/>
      <c r="DM410" s="182">
        <f t="shared" si="1845"/>
        <v>0</v>
      </c>
      <c r="DN410" s="182">
        <f>ROUND(5*0.75,0)</f>
        <v>4</v>
      </c>
      <c r="DO410" s="190">
        <f t="shared" si="1846"/>
        <v>282978.99920000002</v>
      </c>
      <c r="DP410" s="187"/>
      <c r="DQ410" s="187"/>
      <c r="DR410" s="183">
        <f t="shared" si="1847"/>
        <v>271</v>
      </c>
      <c r="DS410" s="183">
        <f t="shared" si="1847"/>
        <v>13028176.10019929</v>
      </c>
      <c r="DT410" s="182">
        <v>275</v>
      </c>
      <c r="DU410" s="182">
        <v>12869029.188553331</v>
      </c>
      <c r="DV410" s="167">
        <f t="shared" si="1800"/>
        <v>-4</v>
      </c>
      <c r="DW410" s="167">
        <f t="shared" si="1800"/>
        <v>159146.9116459582</v>
      </c>
    </row>
    <row r="411" spans="1:127" ht="15.75" customHeight="1" x14ac:dyDescent="0.25">
      <c r="A411" s="154"/>
      <c r="B411" s="176">
        <v>361</v>
      </c>
      <c r="C411" s="177" t="s">
        <v>891</v>
      </c>
      <c r="D411" s="210" t="s">
        <v>892</v>
      </c>
      <c r="E411" s="158">
        <v>25969</v>
      </c>
      <c r="F411" s="179">
        <v>1.1599999999999999</v>
      </c>
      <c r="G411" s="168">
        <v>1</v>
      </c>
      <c r="H411" s="169"/>
      <c r="I411" s="169"/>
      <c r="J411" s="169"/>
      <c r="K411" s="106"/>
      <c r="L411" s="180">
        <v>1.4</v>
      </c>
      <c r="M411" s="180">
        <v>1.68</v>
      </c>
      <c r="N411" s="180">
        <v>2.23</v>
      </c>
      <c r="O411" s="181">
        <v>2.57</v>
      </c>
      <c r="P411" s="316">
        <v>2</v>
      </c>
      <c r="Q411" s="182">
        <f t="shared" si="1804"/>
        <v>92782.0432</v>
      </c>
      <c r="R411" s="182"/>
      <c r="S411" s="182">
        <f t="shared" si="1805"/>
        <v>0</v>
      </c>
      <c r="T411" s="182">
        <v>14</v>
      </c>
      <c r="U411" s="182">
        <f t="shared" si="1806"/>
        <v>745419.36979999999</v>
      </c>
      <c r="V411" s="182"/>
      <c r="W411" s="183">
        <f t="shared" si="1807"/>
        <v>0</v>
      </c>
      <c r="X411" s="183"/>
      <c r="Y411" s="183">
        <v>0</v>
      </c>
      <c r="Z411" s="183"/>
      <c r="AA411" s="183">
        <v>0</v>
      </c>
      <c r="AB411" s="182">
        <f t="shared" si="1808"/>
        <v>0</v>
      </c>
      <c r="AC411" s="182">
        <f t="shared" si="1808"/>
        <v>0</v>
      </c>
      <c r="AD411" s="182"/>
      <c r="AE411" s="182">
        <f t="shared" si="1809"/>
        <v>0</v>
      </c>
      <c r="AF411" s="182"/>
      <c r="AG411" s="182"/>
      <c r="AH411" s="182"/>
      <c r="AI411" s="182">
        <f t="shared" si="1810"/>
        <v>0</v>
      </c>
      <c r="AJ411" s="182"/>
      <c r="AK411" s="182"/>
      <c r="AL411" s="182"/>
      <c r="AM411" s="182"/>
      <c r="AN411" s="184"/>
      <c r="AO411" s="182">
        <f t="shared" si="1811"/>
        <v>0</v>
      </c>
      <c r="AP411" s="182">
        <v>2</v>
      </c>
      <c r="AQ411" s="183">
        <f t="shared" si="1812"/>
        <v>92782.0432</v>
      </c>
      <c r="AR411" s="182"/>
      <c r="AS411" s="182">
        <f t="shared" ref="AS411:AS412" si="1855">(AR411*$E411*$F411*$G411*$L411*$AS$12)/12*10+(AR411*$E411*$F411*$G411*$L411*$AS$13)/12*1+(AR411*$E411*$F411*$G411*$L411*$AS$14)/12*1</f>
        <v>0</v>
      </c>
      <c r="AT411" s="182">
        <v>3</v>
      </c>
      <c r="AU411" s="182">
        <f t="shared" si="1814"/>
        <v>174963.24031525917</v>
      </c>
      <c r="AV411" s="188"/>
      <c r="AW411" s="182">
        <f t="shared" si="1815"/>
        <v>0</v>
      </c>
      <c r="AX411" s="182"/>
      <c r="AY411" s="187">
        <f t="shared" si="1816"/>
        <v>0</v>
      </c>
      <c r="AZ411" s="182"/>
      <c r="BA411" s="182">
        <f t="shared" si="1817"/>
        <v>0</v>
      </c>
      <c r="BB411" s="182"/>
      <c r="BC411" s="182">
        <f t="shared" si="1818"/>
        <v>0</v>
      </c>
      <c r="BD411" s="182"/>
      <c r="BE411" s="182">
        <f t="shared" si="1819"/>
        <v>0</v>
      </c>
      <c r="BF411" s="182"/>
      <c r="BG411" s="182">
        <f t="shared" si="1820"/>
        <v>0</v>
      </c>
      <c r="BH411" s="182"/>
      <c r="BI411" s="183">
        <f t="shared" si="1821"/>
        <v>0</v>
      </c>
      <c r="BJ411" s="182"/>
      <c r="BK411" s="183">
        <f t="shared" si="1822"/>
        <v>0</v>
      </c>
      <c r="BL411" s="182"/>
      <c r="BM411" s="182">
        <f t="shared" si="1849"/>
        <v>0</v>
      </c>
      <c r="BN411" s="182"/>
      <c r="BO411" s="182">
        <f t="shared" si="1824"/>
        <v>0</v>
      </c>
      <c r="BP411" s="182"/>
      <c r="BQ411" s="182">
        <f t="shared" si="1853"/>
        <v>0</v>
      </c>
      <c r="BR411" s="182"/>
      <c r="BS411" s="183">
        <f t="shared" si="1826"/>
        <v>0</v>
      </c>
      <c r="BT411" s="182"/>
      <c r="BU411" s="182">
        <f t="shared" si="1827"/>
        <v>0</v>
      </c>
      <c r="BV411" s="182"/>
      <c r="BW411" s="182">
        <f t="shared" si="1828"/>
        <v>0</v>
      </c>
      <c r="BX411" s="182"/>
      <c r="BY411" s="183">
        <f t="shared" ref="BY411:BY412" si="1856">(BX411*$E411*$F411*$G411*$M411*$BY$12)</f>
        <v>0</v>
      </c>
      <c r="BZ411" s="182">
        <v>3</v>
      </c>
      <c r="CA411" s="187">
        <f t="shared" si="1830"/>
        <v>198424.09932407999</v>
      </c>
      <c r="CB411" s="182"/>
      <c r="CC411" s="182">
        <f t="shared" si="1831"/>
        <v>0</v>
      </c>
      <c r="CD411" s="182">
        <v>85</v>
      </c>
      <c r="CE411" s="182">
        <f t="shared" si="1832"/>
        <v>3584760.76</v>
      </c>
      <c r="CF411" s="182"/>
      <c r="CG411" s="182">
        <f t="shared" si="1833"/>
        <v>0</v>
      </c>
      <c r="CH411" s="182">
        <v>2</v>
      </c>
      <c r="CI411" s="182">
        <f t="shared" si="1854"/>
        <v>112799.51597846398</v>
      </c>
      <c r="CJ411" s="182"/>
      <c r="CK411" s="182"/>
      <c r="CL411" s="182"/>
      <c r="CM411" s="183">
        <f t="shared" si="1835"/>
        <v>0</v>
      </c>
      <c r="CN411" s="182"/>
      <c r="CO411" s="183">
        <f t="shared" si="1836"/>
        <v>0</v>
      </c>
      <c r="CP411" s="182"/>
      <c r="CQ411" s="182">
        <f t="shared" si="1837"/>
        <v>0</v>
      </c>
      <c r="CR411" s="182">
        <v>4</v>
      </c>
      <c r="CS411" s="182">
        <f t="shared" ref="CS411" si="1857">(CR411*$E411*$F411*$G411*$L411*$CS$12)/12*10+(CR411*$E411*$F411*$G411*$L411*$CS$13)/12+(CR411*$E411*$F411*$G411*$L411*$CS$13*$CS$15)/12</f>
        <v>202242.64271717332</v>
      </c>
      <c r="CT411" s="182"/>
      <c r="CU411" s="182">
        <f t="shared" ref="CU411:CU412" si="1858">(CT411*$E411*$F411*$G411*$L411*$CU$12)</f>
        <v>0</v>
      </c>
      <c r="CV411" s="182"/>
      <c r="CW411" s="182">
        <v>0</v>
      </c>
      <c r="CX411" s="182"/>
      <c r="CY411" s="182">
        <f t="shared" si="1840"/>
        <v>0</v>
      </c>
      <c r="CZ411" s="182"/>
      <c r="DA411" s="182">
        <v>0</v>
      </c>
      <c r="DB411" s="188"/>
      <c r="DC411" s="182">
        <f t="shared" si="1841"/>
        <v>0</v>
      </c>
      <c r="DD411" s="182"/>
      <c r="DE411" s="187"/>
      <c r="DF411" s="182"/>
      <c r="DG411" s="182">
        <f t="shared" si="1842"/>
        <v>0</v>
      </c>
      <c r="DH411" s="189"/>
      <c r="DI411" s="182">
        <f t="shared" si="1843"/>
        <v>0</v>
      </c>
      <c r="DJ411" s="182"/>
      <c r="DK411" s="182">
        <f t="shared" si="1850"/>
        <v>0</v>
      </c>
      <c r="DL411" s="182">
        <f>ROUND(2*0.75,0)</f>
        <v>2</v>
      </c>
      <c r="DM411" s="182">
        <f t="shared" si="1845"/>
        <v>134353.21839999998</v>
      </c>
      <c r="DN411" s="182"/>
      <c r="DO411" s="190">
        <f t="shared" si="1846"/>
        <v>0</v>
      </c>
      <c r="DP411" s="187"/>
      <c r="DQ411" s="187"/>
      <c r="DR411" s="183">
        <f t="shared" si="1847"/>
        <v>117</v>
      </c>
      <c r="DS411" s="183">
        <f t="shared" si="1847"/>
        <v>5338526.9329349753</v>
      </c>
      <c r="DT411" s="182">
        <v>117</v>
      </c>
      <c r="DU411" s="182">
        <v>5271245.0980533333</v>
      </c>
      <c r="DV411" s="167">
        <f t="shared" si="1800"/>
        <v>0</v>
      </c>
      <c r="DW411" s="167">
        <f t="shared" si="1800"/>
        <v>67281.834881641902</v>
      </c>
    </row>
    <row r="412" spans="1:127" ht="15.75" customHeight="1" x14ac:dyDescent="0.25">
      <c r="A412" s="154"/>
      <c r="B412" s="176">
        <v>362</v>
      </c>
      <c r="C412" s="177" t="s">
        <v>893</v>
      </c>
      <c r="D412" s="210" t="s">
        <v>894</v>
      </c>
      <c r="E412" s="158">
        <v>25969</v>
      </c>
      <c r="F412" s="201">
        <v>3.32</v>
      </c>
      <c r="G412" s="168">
        <v>1</v>
      </c>
      <c r="H412" s="169"/>
      <c r="I412" s="169"/>
      <c r="J412" s="169"/>
      <c r="K412" s="106"/>
      <c r="L412" s="180">
        <v>1.4</v>
      </c>
      <c r="M412" s="180">
        <v>1.68</v>
      </c>
      <c r="N412" s="180">
        <v>2.23</v>
      </c>
      <c r="O412" s="181">
        <v>2.57</v>
      </c>
      <c r="P412" s="316">
        <v>3</v>
      </c>
      <c r="Q412" s="182">
        <f t="shared" si="1804"/>
        <v>398322.90960000001</v>
      </c>
      <c r="R412" s="182"/>
      <c r="S412" s="182">
        <f t="shared" si="1805"/>
        <v>0</v>
      </c>
      <c r="T412" s="182">
        <v>22</v>
      </c>
      <c r="U412" s="182">
        <f t="shared" si="1806"/>
        <v>3352551.1557999989</v>
      </c>
      <c r="V412" s="182"/>
      <c r="W412" s="183">
        <f t="shared" si="1807"/>
        <v>0</v>
      </c>
      <c r="X412" s="183"/>
      <c r="Y412" s="183">
        <v>0</v>
      </c>
      <c r="Z412" s="183"/>
      <c r="AA412" s="183">
        <v>0</v>
      </c>
      <c r="AB412" s="182">
        <f t="shared" si="1808"/>
        <v>0</v>
      </c>
      <c r="AC412" s="182">
        <f t="shared" si="1808"/>
        <v>0</v>
      </c>
      <c r="AD412" s="182"/>
      <c r="AE412" s="182">
        <f t="shared" si="1809"/>
        <v>0</v>
      </c>
      <c r="AF412" s="182"/>
      <c r="AG412" s="182"/>
      <c r="AH412" s="182"/>
      <c r="AI412" s="182">
        <f t="shared" si="1810"/>
        <v>0</v>
      </c>
      <c r="AJ412" s="182"/>
      <c r="AK412" s="182"/>
      <c r="AL412" s="182"/>
      <c r="AM412" s="182"/>
      <c r="AN412" s="184"/>
      <c r="AO412" s="182">
        <f t="shared" si="1811"/>
        <v>0</v>
      </c>
      <c r="AP412" s="182"/>
      <c r="AQ412" s="183">
        <f t="shared" si="1812"/>
        <v>0</v>
      </c>
      <c r="AR412" s="182"/>
      <c r="AS412" s="182">
        <f t="shared" si="1855"/>
        <v>0</v>
      </c>
      <c r="AT412" s="182"/>
      <c r="AU412" s="182">
        <f t="shared" ref="AU412" si="1859">(AT412*$E412*$F412*$G412*$M412*$AU$12)/12*10+(AT412*$E412*$F412*$G412*$M412*$AU$13)/12*2</f>
        <v>0</v>
      </c>
      <c r="AV412" s="188"/>
      <c r="AW412" s="182">
        <f t="shared" si="1815"/>
        <v>0</v>
      </c>
      <c r="AX412" s="182"/>
      <c r="AY412" s="187">
        <f t="shared" si="1816"/>
        <v>0</v>
      </c>
      <c r="AZ412" s="182"/>
      <c r="BA412" s="182">
        <f t="shared" si="1817"/>
        <v>0</v>
      </c>
      <c r="BB412" s="182"/>
      <c r="BC412" s="182">
        <f t="shared" si="1818"/>
        <v>0</v>
      </c>
      <c r="BD412" s="182"/>
      <c r="BE412" s="182">
        <f t="shared" si="1819"/>
        <v>0</v>
      </c>
      <c r="BF412" s="182"/>
      <c r="BG412" s="182">
        <f t="shared" si="1820"/>
        <v>0</v>
      </c>
      <c r="BH412" s="182"/>
      <c r="BI412" s="183">
        <f t="shared" si="1821"/>
        <v>0</v>
      </c>
      <c r="BJ412" s="182"/>
      <c r="BK412" s="183">
        <f t="shared" si="1822"/>
        <v>0</v>
      </c>
      <c r="BL412" s="182"/>
      <c r="BM412" s="182">
        <f t="shared" si="1849"/>
        <v>0</v>
      </c>
      <c r="BN412" s="182"/>
      <c r="BO412" s="182">
        <f t="shared" si="1824"/>
        <v>0</v>
      </c>
      <c r="BP412" s="182">
        <v>1</v>
      </c>
      <c r="BQ412" s="182">
        <f t="shared" si="1853"/>
        <v>155776.00278245597</v>
      </c>
      <c r="BR412" s="182"/>
      <c r="BS412" s="183">
        <f t="shared" si="1826"/>
        <v>0</v>
      </c>
      <c r="BT412" s="182"/>
      <c r="BU412" s="182">
        <f t="shared" si="1827"/>
        <v>0</v>
      </c>
      <c r="BV412" s="182"/>
      <c r="BW412" s="182">
        <f t="shared" si="1828"/>
        <v>0</v>
      </c>
      <c r="BX412" s="182"/>
      <c r="BY412" s="183">
        <f t="shared" si="1856"/>
        <v>0</v>
      </c>
      <c r="BZ412" s="182"/>
      <c r="CA412" s="187">
        <f t="shared" ref="CA412" si="1860">(BZ412*$E412*$F412*$G412*$M412*$CA$12)</f>
        <v>0</v>
      </c>
      <c r="CB412" s="182"/>
      <c r="CC412" s="182">
        <f t="shared" si="1831"/>
        <v>0</v>
      </c>
      <c r="CD412" s="182"/>
      <c r="CE412" s="182">
        <f t="shared" si="1832"/>
        <v>0</v>
      </c>
      <c r="CF412" s="182"/>
      <c r="CG412" s="182">
        <f t="shared" si="1833"/>
        <v>0</v>
      </c>
      <c r="CH412" s="182"/>
      <c r="CI412" s="182">
        <f t="shared" si="1851"/>
        <v>0</v>
      </c>
      <c r="CJ412" s="182"/>
      <c r="CK412" s="182"/>
      <c r="CL412" s="182"/>
      <c r="CM412" s="183">
        <f t="shared" si="1835"/>
        <v>0</v>
      </c>
      <c r="CN412" s="182"/>
      <c r="CO412" s="183">
        <f t="shared" si="1836"/>
        <v>0</v>
      </c>
      <c r="CP412" s="182"/>
      <c r="CQ412" s="182">
        <f t="shared" si="1837"/>
        <v>0</v>
      </c>
      <c r="CR412" s="182"/>
      <c r="CS412" s="182">
        <f t="shared" si="1852"/>
        <v>0</v>
      </c>
      <c r="CT412" s="182"/>
      <c r="CU412" s="182">
        <f t="shared" si="1858"/>
        <v>0</v>
      </c>
      <c r="CV412" s="182"/>
      <c r="CW412" s="182">
        <v>0</v>
      </c>
      <c r="CX412" s="182"/>
      <c r="CY412" s="182">
        <f t="shared" si="1840"/>
        <v>0</v>
      </c>
      <c r="CZ412" s="182"/>
      <c r="DA412" s="182">
        <v>0</v>
      </c>
      <c r="DB412" s="188"/>
      <c r="DC412" s="182">
        <f t="shared" si="1841"/>
        <v>0</v>
      </c>
      <c r="DD412" s="182"/>
      <c r="DE412" s="187"/>
      <c r="DF412" s="182"/>
      <c r="DG412" s="182">
        <f t="shared" si="1842"/>
        <v>0</v>
      </c>
      <c r="DH412" s="189"/>
      <c r="DI412" s="182">
        <f t="shared" si="1843"/>
        <v>0</v>
      </c>
      <c r="DJ412" s="182">
        <v>0</v>
      </c>
      <c r="DK412" s="182">
        <f t="shared" si="1850"/>
        <v>0</v>
      </c>
      <c r="DL412" s="182"/>
      <c r="DM412" s="182">
        <f t="shared" si="1845"/>
        <v>0</v>
      </c>
      <c r="DN412" s="182"/>
      <c r="DO412" s="190">
        <f t="shared" si="1846"/>
        <v>0</v>
      </c>
      <c r="DP412" s="187"/>
      <c r="DQ412" s="187"/>
      <c r="DR412" s="183">
        <f t="shared" si="1847"/>
        <v>26</v>
      </c>
      <c r="DS412" s="183">
        <f t="shared" si="1847"/>
        <v>3906650.0681824549</v>
      </c>
      <c r="DT412" s="182">
        <v>26</v>
      </c>
      <c r="DU412" s="182">
        <v>3862525.1839999994</v>
      </c>
      <c r="DV412" s="167">
        <f t="shared" si="1800"/>
        <v>0</v>
      </c>
      <c r="DW412" s="167">
        <f t="shared" si="1800"/>
        <v>44124.884182455484</v>
      </c>
    </row>
    <row r="413" spans="1:127" ht="13.5" customHeight="1" x14ac:dyDescent="0.25">
      <c r="A413" s="170">
        <v>36</v>
      </c>
      <c r="B413" s="197"/>
      <c r="C413" s="198"/>
      <c r="D413" s="211" t="s">
        <v>895</v>
      </c>
      <c r="E413" s="158">
        <v>25969</v>
      </c>
      <c r="F413" s="278"/>
      <c r="G413" s="171"/>
      <c r="H413" s="169"/>
      <c r="I413" s="169"/>
      <c r="J413" s="169"/>
      <c r="K413" s="173"/>
      <c r="L413" s="174">
        <v>1.4</v>
      </c>
      <c r="M413" s="174">
        <v>1.68</v>
      </c>
      <c r="N413" s="174">
        <v>2.23</v>
      </c>
      <c r="O413" s="175">
        <v>2.57</v>
      </c>
      <c r="P413" s="166">
        <f t="shared" ref="P413:CA413" si="1861">SUM(P414:P455)</f>
        <v>512</v>
      </c>
      <c r="Q413" s="166">
        <f t="shared" si="1861"/>
        <v>41497886.03874281</v>
      </c>
      <c r="R413" s="166">
        <f t="shared" si="1861"/>
        <v>278</v>
      </c>
      <c r="S413" s="166">
        <f t="shared" si="1861"/>
        <v>45404615.103999995</v>
      </c>
      <c r="T413" s="166">
        <f t="shared" si="1861"/>
        <v>257</v>
      </c>
      <c r="U413" s="166">
        <f t="shared" si="1861"/>
        <v>37479035.286217988</v>
      </c>
      <c r="V413" s="166">
        <f t="shared" si="1861"/>
        <v>22</v>
      </c>
      <c r="W413" s="166">
        <f t="shared" si="1861"/>
        <v>554841.27198079997</v>
      </c>
      <c r="X413" s="166">
        <v>122</v>
      </c>
      <c r="Y413" s="166">
        <v>4037701.7950511994</v>
      </c>
      <c r="Z413" s="166">
        <v>3</v>
      </c>
      <c r="AA413" s="166">
        <v>91618.631999999998</v>
      </c>
      <c r="AB413" s="166">
        <f t="shared" si="1861"/>
        <v>125</v>
      </c>
      <c r="AC413" s="166">
        <f t="shared" si="1861"/>
        <v>4129320.4270511996</v>
      </c>
      <c r="AD413" s="166">
        <f t="shared" si="1861"/>
        <v>400</v>
      </c>
      <c r="AE413" s="166">
        <f t="shared" si="1861"/>
        <v>31216254.776576802</v>
      </c>
      <c r="AF413" s="166">
        <f t="shared" si="1861"/>
        <v>0</v>
      </c>
      <c r="AG413" s="166">
        <f t="shared" si="1861"/>
        <v>0</v>
      </c>
      <c r="AH413" s="166">
        <f t="shared" si="1861"/>
        <v>77</v>
      </c>
      <c r="AI413" s="166">
        <f t="shared" si="1861"/>
        <v>4177957.1231200001</v>
      </c>
      <c r="AJ413" s="166">
        <f>SUM(AJ414:AJ455)</f>
        <v>0</v>
      </c>
      <c r="AK413" s="166">
        <f>SUM(AK414:AK455)</f>
        <v>0</v>
      </c>
      <c r="AL413" s="166">
        <f t="shared" si="1861"/>
        <v>0</v>
      </c>
      <c r="AM413" s="166">
        <f t="shared" si="1861"/>
        <v>0</v>
      </c>
      <c r="AN413" s="166">
        <f t="shared" si="1861"/>
        <v>28</v>
      </c>
      <c r="AO413" s="166">
        <f t="shared" si="1861"/>
        <v>1164779.0911059999</v>
      </c>
      <c r="AP413" s="166">
        <f t="shared" si="1861"/>
        <v>147</v>
      </c>
      <c r="AQ413" s="166">
        <f t="shared" si="1861"/>
        <v>3215377.7039999999</v>
      </c>
      <c r="AR413" s="166">
        <f t="shared" si="1861"/>
        <v>177</v>
      </c>
      <c r="AS413" s="166">
        <f t="shared" si="1861"/>
        <v>3744813.5777252666</v>
      </c>
      <c r="AT413" s="166">
        <f t="shared" si="1861"/>
        <v>146</v>
      </c>
      <c r="AU413" s="166">
        <f t="shared" si="1861"/>
        <v>5952269.5462423954</v>
      </c>
      <c r="AV413" s="166">
        <f t="shared" si="1861"/>
        <v>30</v>
      </c>
      <c r="AW413" s="166">
        <f t="shared" si="1861"/>
        <v>725314.10000000021</v>
      </c>
      <c r="AX413" s="166">
        <f t="shared" si="1861"/>
        <v>0</v>
      </c>
      <c r="AY413" s="166">
        <f t="shared" si="1861"/>
        <v>0</v>
      </c>
      <c r="AZ413" s="166">
        <f t="shared" si="1861"/>
        <v>0</v>
      </c>
      <c r="BA413" s="166">
        <f t="shared" si="1861"/>
        <v>0</v>
      </c>
      <c r="BB413" s="166">
        <f t="shared" si="1861"/>
        <v>0</v>
      </c>
      <c r="BC413" s="166">
        <f t="shared" si="1861"/>
        <v>0</v>
      </c>
      <c r="BD413" s="166">
        <f t="shared" si="1861"/>
        <v>0</v>
      </c>
      <c r="BE413" s="166">
        <f t="shared" si="1861"/>
        <v>0</v>
      </c>
      <c r="BF413" s="166">
        <f t="shared" si="1861"/>
        <v>0</v>
      </c>
      <c r="BG413" s="166">
        <f t="shared" si="1861"/>
        <v>0</v>
      </c>
      <c r="BH413" s="166">
        <f t="shared" si="1861"/>
        <v>0</v>
      </c>
      <c r="BI413" s="166">
        <f t="shared" si="1861"/>
        <v>0</v>
      </c>
      <c r="BJ413" s="166">
        <f t="shared" si="1861"/>
        <v>0</v>
      </c>
      <c r="BK413" s="166">
        <f t="shared" si="1861"/>
        <v>0</v>
      </c>
      <c r="BL413" s="166">
        <f t="shared" si="1861"/>
        <v>0</v>
      </c>
      <c r="BM413" s="166">
        <f t="shared" si="1861"/>
        <v>0</v>
      </c>
      <c r="BN413" s="166">
        <f t="shared" si="1861"/>
        <v>22</v>
      </c>
      <c r="BO413" s="166">
        <f t="shared" si="1861"/>
        <v>1742062.8456000001</v>
      </c>
      <c r="BP413" s="166">
        <f t="shared" si="1861"/>
        <v>14</v>
      </c>
      <c r="BQ413" s="166">
        <f t="shared" si="1861"/>
        <v>3941320.5523271998</v>
      </c>
      <c r="BR413" s="166">
        <f t="shared" si="1861"/>
        <v>80</v>
      </c>
      <c r="BS413" s="166">
        <f t="shared" si="1861"/>
        <v>1745116.8</v>
      </c>
      <c r="BT413" s="166">
        <f t="shared" si="1861"/>
        <v>0</v>
      </c>
      <c r="BU413" s="166">
        <f t="shared" si="1861"/>
        <v>0</v>
      </c>
      <c r="BV413" s="166">
        <f t="shared" si="1861"/>
        <v>2</v>
      </c>
      <c r="BW413" s="166">
        <f t="shared" si="1861"/>
        <v>25129.681919999999</v>
      </c>
      <c r="BX413" s="166">
        <f t="shared" si="1861"/>
        <v>6</v>
      </c>
      <c r="BY413" s="166">
        <f t="shared" si="1861"/>
        <v>112972.998039552</v>
      </c>
      <c r="BZ413" s="166">
        <f t="shared" si="1861"/>
        <v>72</v>
      </c>
      <c r="CA413" s="166">
        <f t="shared" si="1861"/>
        <v>2015030.9396876397</v>
      </c>
      <c r="CB413" s="166">
        <f t="shared" ref="CB413:DQ413" si="1862">SUM(CB414:CB455)</f>
        <v>90</v>
      </c>
      <c r="CC413" s="166">
        <f t="shared" si="1862"/>
        <v>943984.16085600003</v>
      </c>
      <c r="CD413" s="166">
        <f t="shared" si="1862"/>
        <v>18</v>
      </c>
      <c r="CE413" s="166">
        <f t="shared" si="1862"/>
        <v>188796.83217119999</v>
      </c>
      <c r="CF413" s="166">
        <f t="shared" si="1862"/>
        <v>0</v>
      </c>
      <c r="CG413" s="166">
        <f t="shared" si="1862"/>
        <v>0</v>
      </c>
      <c r="CH413" s="166">
        <f t="shared" si="1862"/>
        <v>15</v>
      </c>
      <c r="CI413" s="166">
        <f t="shared" si="1862"/>
        <v>364653.60768899997</v>
      </c>
      <c r="CJ413" s="166">
        <f t="shared" si="1862"/>
        <v>0</v>
      </c>
      <c r="CK413" s="166">
        <f t="shared" si="1862"/>
        <v>0</v>
      </c>
      <c r="CL413" s="166">
        <f t="shared" si="1862"/>
        <v>0</v>
      </c>
      <c r="CM413" s="166">
        <f t="shared" si="1862"/>
        <v>0</v>
      </c>
      <c r="CN413" s="166">
        <f t="shared" si="1862"/>
        <v>0</v>
      </c>
      <c r="CO413" s="166">
        <f t="shared" si="1862"/>
        <v>0</v>
      </c>
      <c r="CP413" s="166">
        <f t="shared" si="1862"/>
        <v>0</v>
      </c>
      <c r="CQ413" s="166">
        <f t="shared" si="1862"/>
        <v>0</v>
      </c>
      <c r="CR413" s="166">
        <f t="shared" si="1862"/>
        <v>12</v>
      </c>
      <c r="CS413" s="166">
        <f t="shared" si="1862"/>
        <v>261520.65868599998</v>
      </c>
      <c r="CT413" s="166">
        <f t="shared" si="1862"/>
        <v>4</v>
      </c>
      <c r="CU413" s="166">
        <f t="shared" si="1862"/>
        <v>143507.14962864001</v>
      </c>
      <c r="CV413" s="166">
        <f t="shared" si="1862"/>
        <v>35</v>
      </c>
      <c r="CW413" s="166">
        <v>809297.91999999969</v>
      </c>
      <c r="CX413" s="166">
        <f t="shared" si="1862"/>
        <v>0</v>
      </c>
      <c r="CY413" s="166">
        <f t="shared" si="1862"/>
        <v>0</v>
      </c>
      <c r="CZ413" s="166">
        <f t="shared" si="1862"/>
        <v>21</v>
      </c>
      <c r="DA413" s="166">
        <v>2473703.15</v>
      </c>
      <c r="DB413" s="166">
        <f t="shared" si="1862"/>
        <v>154</v>
      </c>
      <c r="DC413" s="166">
        <f t="shared" si="1862"/>
        <v>8025262.6760652</v>
      </c>
      <c r="DD413" s="166">
        <f t="shared" si="1862"/>
        <v>0</v>
      </c>
      <c r="DE413" s="166">
        <f t="shared" si="1862"/>
        <v>0</v>
      </c>
      <c r="DF413" s="166">
        <f t="shared" si="1862"/>
        <v>0</v>
      </c>
      <c r="DG413" s="166">
        <f t="shared" si="1862"/>
        <v>0</v>
      </c>
      <c r="DH413" s="166">
        <f t="shared" si="1862"/>
        <v>0</v>
      </c>
      <c r="DI413" s="166">
        <f t="shared" si="1862"/>
        <v>0</v>
      </c>
      <c r="DJ413" s="166">
        <f t="shared" si="1862"/>
        <v>22</v>
      </c>
      <c r="DK413" s="166">
        <f t="shared" si="1862"/>
        <v>334688.50524031994</v>
      </c>
      <c r="DL413" s="166">
        <f t="shared" si="1862"/>
        <v>0</v>
      </c>
      <c r="DM413" s="166">
        <f t="shared" si="1862"/>
        <v>0</v>
      </c>
      <c r="DN413" s="166">
        <f t="shared" si="1862"/>
        <v>8</v>
      </c>
      <c r="DO413" s="166">
        <f t="shared" si="1862"/>
        <v>170855.24479999999</v>
      </c>
      <c r="DP413" s="166">
        <f t="shared" si="1862"/>
        <v>0</v>
      </c>
      <c r="DQ413" s="166">
        <f t="shared" si="1862"/>
        <v>0</v>
      </c>
      <c r="DR413" s="166">
        <f>SUM(DR414:DR455)</f>
        <v>2774</v>
      </c>
      <c r="DS413" s="166">
        <f t="shared" ref="DS413" si="1863">SUM(DS414:DS455)</f>
        <v>202560367.76947403</v>
      </c>
      <c r="DT413" s="166">
        <v>2705</v>
      </c>
      <c r="DU413" s="166">
        <v>196464079.04579535</v>
      </c>
      <c r="DV413" s="167">
        <f t="shared" si="1800"/>
        <v>69</v>
      </c>
      <c r="DW413" s="167">
        <f t="shared" si="1800"/>
        <v>6096288.7236786783</v>
      </c>
    </row>
    <row r="414" spans="1:127" s="6" customFormat="1" ht="30" customHeight="1" x14ac:dyDescent="0.25">
      <c r="A414" s="154"/>
      <c r="B414" s="176">
        <v>363</v>
      </c>
      <c r="C414" s="177" t="s">
        <v>896</v>
      </c>
      <c r="D414" s="210" t="s">
        <v>897</v>
      </c>
      <c r="E414" s="158">
        <v>25969</v>
      </c>
      <c r="F414" s="179">
        <v>4.32</v>
      </c>
      <c r="G414" s="168">
        <v>1</v>
      </c>
      <c r="H414" s="169"/>
      <c r="I414" s="169"/>
      <c r="J414" s="169"/>
      <c r="K414" s="106"/>
      <c r="L414" s="180">
        <v>1.4</v>
      </c>
      <c r="M414" s="180">
        <v>1.68</v>
      </c>
      <c r="N414" s="180">
        <v>2.23</v>
      </c>
      <c r="O414" s="181">
        <v>2.57</v>
      </c>
      <c r="P414" s="311">
        <v>5</v>
      </c>
      <c r="Q414" s="182">
        <f>(P414*$E414*$F414*$G414*$L414)</f>
        <v>785302.55999999994</v>
      </c>
      <c r="R414" s="182">
        <v>1</v>
      </c>
      <c r="S414" s="187">
        <f>(R414*$E414*$F414*$G414*$L414)</f>
        <v>157060.51199999999</v>
      </c>
      <c r="T414" s="182">
        <v>1</v>
      </c>
      <c r="U414" s="182">
        <f>(T414*$E414*$F414*$G414*$L414)</f>
        <v>157060.51199999999</v>
      </c>
      <c r="V414" s="182"/>
      <c r="W414" s="182">
        <f>(V414*$E414*$F414*$G414*$L414)</f>
        <v>0</v>
      </c>
      <c r="X414" s="182"/>
      <c r="Y414" s="182">
        <v>0</v>
      </c>
      <c r="Z414" s="182"/>
      <c r="AA414" s="182">
        <v>0</v>
      </c>
      <c r="AB414" s="182">
        <f>X414+Z414</f>
        <v>0</v>
      </c>
      <c r="AC414" s="182">
        <f>Y414+AA414</f>
        <v>0</v>
      </c>
      <c r="AD414" s="182"/>
      <c r="AE414" s="182">
        <f>(AD414*$E414*$F414*$G414*$L414)</f>
        <v>0</v>
      </c>
      <c r="AF414" s="182"/>
      <c r="AG414" s="182"/>
      <c r="AH414" s="182"/>
      <c r="AI414" s="182">
        <f>(AH414*$E414*$F414*$G414*$L414)</f>
        <v>0</v>
      </c>
      <c r="AJ414" s="182"/>
      <c r="AK414" s="182"/>
      <c r="AL414" s="182"/>
      <c r="AM414" s="182"/>
      <c r="AN414" s="184"/>
      <c r="AO414" s="182">
        <f>(AN414*$E414*$F414*$G414*$L414)</f>
        <v>0</v>
      </c>
      <c r="AP414" s="182"/>
      <c r="AQ414" s="182">
        <f>(AP414*$E414*$F414*$G414*$L414)</f>
        <v>0</v>
      </c>
      <c r="AR414" s="182"/>
      <c r="AS414" s="182">
        <f>(AR414*$E414*$F414*$G414*$L414)</f>
        <v>0</v>
      </c>
      <c r="AT414" s="182"/>
      <c r="AU414" s="183">
        <f>(AT414*$E414*$F414*$G414*$M414)</f>
        <v>0</v>
      </c>
      <c r="AV414" s="188"/>
      <c r="AW414" s="182">
        <f>(AV414*$E414*$F414*$G414*$M414)</f>
        <v>0</v>
      </c>
      <c r="AX414" s="182"/>
      <c r="AY414" s="187">
        <f>(AX414*$E414*$F414*$G414*$M414)</f>
        <v>0</v>
      </c>
      <c r="AZ414" s="182"/>
      <c r="BA414" s="182">
        <f>(AZ414*$E414*$F414*$G414*$L414*$AO$12)</f>
        <v>0</v>
      </c>
      <c r="BB414" s="182"/>
      <c r="BC414" s="182">
        <f>(BB414*$E414*$F414*$G414*$L414*BC$12)</f>
        <v>0</v>
      </c>
      <c r="BD414" s="182"/>
      <c r="BE414" s="182">
        <f>(BD414*$E414*$F414*$G414*$L414*BE$12)</f>
        <v>0</v>
      </c>
      <c r="BF414" s="182"/>
      <c r="BG414" s="182">
        <f>(BF414*$E414*$F414*$G414*$L414)</f>
        <v>0</v>
      </c>
      <c r="BH414" s="182"/>
      <c r="BI414" s="182">
        <f t="shared" ref="BI414" si="1864">(BH414*$E414*$F414*$G414*$L414)</f>
        <v>0</v>
      </c>
      <c r="BJ414" s="182"/>
      <c r="BK414" s="182"/>
      <c r="BL414" s="182"/>
      <c r="BM414" s="182">
        <f>(BL414*$E414*$F414*$G414*$L414)</f>
        <v>0</v>
      </c>
      <c r="BN414" s="182"/>
      <c r="BO414" s="182">
        <f>(BN414*$E414*$F414*$G414*$M414)</f>
        <v>0</v>
      </c>
      <c r="BP414" s="182"/>
      <c r="BQ414" s="182">
        <f>(BP414*$E414*$F414*$G414*$M414)</f>
        <v>0</v>
      </c>
      <c r="BR414" s="182"/>
      <c r="BS414" s="182">
        <f>(BR414*$E414*$F414*$G414*$M414)</f>
        <v>0</v>
      </c>
      <c r="BT414" s="182"/>
      <c r="BU414" s="182">
        <f>(BT414*$E414*$F414*$G414*$M414)</f>
        <v>0</v>
      </c>
      <c r="BV414" s="182"/>
      <c r="BW414" s="182">
        <f>(BV414*$E414*$F414*$G414*$M414)</f>
        <v>0</v>
      </c>
      <c r="BX414" s="182"/>
      <c r="BY414" s="182">
        <f>(BX414*$E414*$F414*$G414*$M414)</f>
        <v>0</v>
      </c>
      <c r="BZ414" s="182"/>
      <c r="CA414" s="187">
        <f>(BZ414*$E414*$F414*$G414*$M414)</f>
        <v>0</v>
      </c>
      <c r="CB414" s="182"/>
      <c r="CC414" s="182">
        <f>(CB414*$E414*$F414*$G414*$L414)</f>
        <v>0</v>
      </c>
      <c r="CD414" s="182"/>
      <c r="CE414" s="183">
        <f>(CD414*$E414*$F414*$G414*$L414)</f>
        <v>0</v>
      </c>
      <c r="CF414" s="182"/>
      <c r="CG414" s="182">
        <f>(CF414*$E414*$F414*$G414*$L414)</f>
        <v>0</v>
      </c>
      <c r="CH414" s="182"/>
      <c r="CI414" s="182">
        <f>(CH414*$E414*$F414*$G414*$M414)</f>
        <v>0</v>
      </c>
      <c r="CJ414" s="182"/>
      <c r="CK414" s="182"/>
      <c r="CL414" s="182"/>
      <c r="CM414" s="182">
        <f>(CL414*$E414*$F414*$G414*$L414)</f>
        <v>0</v>
      </c>
      <c r="CN414" s="182"/>
      <c r="CO414" s="182">
        <f>(CN414*$E414*$F414*$G414*$L414)</f>
        <v>0</v>
      </c>
      <c r="CP414" s="182"/>
      <c r="CQ414" s="182">
        <f>(CP414*$E414*$F414*$G414*$L414)</f>
        <v>0</v>
      </c>
      <c r="CR414" s="182"/>
      <c r="CS414" s="182">
        <f>(CR414*$E414*$F414*$G414*$L414)</f>
        <v>0</v>
      </c>
      <c r="CT414" s="182"/>
      <c r="CU414" s="182">
        <f>(CT414*$E414*$F414*$G414*$L414)</f>
        <v>0</v>
      </c>
      <c r="CV414" s="182"/>
      <c r="CW414" s="182">
        <v>0</v>
      </c>
      <c r="CX414" s="182"/>
      <c r="CY414" s="182">
        <f>(CX414*$E414*$F414*$G414*$M414)</f>
        <v>0</v>
      </c>
      <c r="CZ414" s="182"/>
      <c r="DA414" s="182">
        <v>0</v>
      </c>
      <c r="DB414" s="188"/>
      <c r="DC414" s="182">
        <f>(DB414*$E414*$F414*$G414*$M414)</f>
        <v>0</v>
      </c>
      <c r="DD414" s="182"/>
      <c r="DE414" s="187">
        <f>(DD414*$E414*$F414*$G414*$M414)</f>
        <v>0</v>
      </c>
      <c r="DF414" s="182"/>
      <c r="DG414" s="182"/>
      <c r="DH414" s="189"/>
      <c r="DI414" s="182">
        <f>(DH414*$E414*$F414*$G414*$M414)</f>
        <v>0</v>
      </c>
      <c r="DJ414" s="182"/>
      <c r="DK414" s="182">
        <f>(DJ414*$E414*$F414*$G414*$M414)</f>
        <v>0</v>
      </c>
      <c r="DL414" s="182"/>
      <c r="DM414" s="182">
        <f>(DL414*$E414*$F414*$G414*$N414)</f>
        <v>0</v>
      </c>
      <c r="DN414" s="182"/>
      <c r="DO414" s="187">
        <f>(DN414*$E414*$F414*$G414*$O414)</f>
        <v>0</v>
      </c>
      <c r="DP414" s="187"/>
      <c r="DQ414" s="187"/>
      <c r="DR414" s="183">
        <f t="shared" ref="DR414:DS455" si="1865">SUM(P414,R414,T414,V414,AB414,AJ414,AD414,AF414,AH414,AL414,AN414,AP414,AV414,AZ414,BB414,CF414,AR414,BF414,BH414,BJ414,CT414,BL414,BN414,AT414,BR414,AX414,CV414,BT414,CX414,BV414,BX414,BZ414,CH414,CB414,CD414,CJ414,CL414,CN414,CP414,CR414,CZ414,DB414,BP414,BD414,DD414,DF414,DH414,DJ414,DL414,DN414,DP414)</f>
        <v>7</v>
      </c>
      <c r="DS414" s="183">
        <f t="shared" si="1865"/>
        <v>1099423.5839999998</v>
      </c>
      <c r="DT414" s="182">
        <v>6</v>
      </c>
      <c r="DU414" s="182">
        <v>942363.07199999993</v>
      </c>
      <c r="DV414" s="167">
        <f t="shared" si="1800"/>
        <v>1</v>
      </c>
      <c r="DW414" s="167">
        <f t="shared" si="1800"/>
        <v>157060.51199999987</v>
      </c>
    </row>
    <row r="415" spans="1:127" ht="24" customHeight="1" x14ac:dyDescent="0.25">
      <c r="A415" s="154"/>
      <c r="B415" s="176">
        <v>364</v>
      </c>
      <c r="C415" s="177" t="s">
        <v>898</v>
      </c>
      <c r="D415" s="210" t="s">
        <v>899</v>
      </c>
      <c r="E415" s="158">
        <v>25969</v>
      </c>
      <c r="F415" s="168">
        <v>3.5</v>
      </c>
      <c r="G415" s="243">
        <v>0.8</v>
      </c>
      <c r="H415" s="242"/>
      <c r="I415" s="242"/>
      <c r="J415" s="242"/>
      <c r="K415" s="106"/>
      <c r="L415" s="180">
        <v>1.4</v>
      </c>
      <c r="M415" s="180">
        <v>1.68</v>
      </c>
      <c r="N415" s="180">
        <v>2.23</v>
      </c>
      <c r="O415" s="181">
        <v>2.57</v>
      </c>
      <c r="P415" s="311">
        <v>27</v>
      </c>
      <c r="Q415" s="182">
        <f>(P415*$E415*$F415*$G415*$L415*$Q$12)</f>
        <v>3023414.8560000001</v>
      </c>
      <c r="R415" s="182">
        <v>14</v>
      </c>
      <c r="S415" s="182">
        <f>(R415*$E415*$F415*$G415*$L415*$S$12)</f>
        <v>1567696.5920000002</v>
      </c>
      <c r="T415" s="182">
        <v>165</v>
      </c>
      <c r="U415" s="182">
        <f t="shared" ref="U415:U416" si="1866">(T415/12*11*$E415*$F415*$G415*$L415*$U$12)+(T415/12*1*$E415*$F415*$G415*$L415*$U$14)</f>
        <v>21205895.864999998</v>
      </c>
      <c r="V415" s="182">
        <v>2</v>
      </c>
      <c r="W415" s="183">
        <f>(V415*$E415*$F415*$G415*$L415*$W$12)/12*10+(V415*$E415*$F415*$G415*$L415*$W$13)/12*1+(V415*$E415*$F415*$G415*$L415*$W$14*$W$15)/12*1</f>
        <v>258925.92692437331</v>
      </c>
      <c r="X415" s="183"/>
      <c r="Y415" s="183">
        <v>0</v>
      </c>
      <c r="Z415" s="183"/>
      <c r="AA415" s="183">
        <v>0</v>
      </c>
      <c r="AB415" s="182">
        <f t="shared" ref="AB415:AC422" si="1867">X415+Z415</f>
        <v>0</v>
      </c>
      <c r="AC415" s="182">
        <f t="shared" si="1867"/>
        <v>0</v>
      </c>
      <c r="AD415" s="182"/>
      <c r="AE415" s="182">
        <f>(AD415*$E415*$F415*$G415*$L415*$AE$12)</f>
        <v>0</v>
      </c>
      <c r="AF415" s="182"/>
      <c r="AG415" s="182"/>
      <c r="AH415" s="182">
        <v>15</v>
      </c>
      <c r="AI415" s="182">
        <f>(AH415*$E415*$F415*$G415*$L415*$AI$12)</f>
        <v>1679674.9200000002</v>
      </c>
      <c r="AJ415" s="182"/>
      <c r="AK415" s="182"/>
      <c r="AL415" s="182"/>
      <c r="AM415" s="182"/>
      <c r="AN415" s="184"/>
      <c r="AO415" s="182">
        <f>(AN415*$E415*$F415*$G415*$L415*$AO$12)</f>
        <v>0</v>
      </c>
      <c r="AP415" s="182">
        <v>3</v>
      </c>
      <c r="AQ415" s="183">
        <f>(AP415*$E415*$F415*$G415*$L415*$AQ$12)</f>
        <v>335934.98400000005</v>
      </c>
      <c r="AR415" s="182"/>
      <c r="AS415" s="182">
        <f t="shared" ref="AS415" si="1868">(AR415*$E415*$F415*$G415*$L415*$AS$12)/12*10+(AR415*$E415*$F415*$G415*$L415*$AS$13)/12*1+(AR415*$E415*$F415*$G415*$L415*$AS$14)/12*1</f>
        <v>0</v>
      </c>
      <c r="AT415" s="182">
        <v>13</v>
      </c>
      <c r="AU415" s="182">
        <f t="shared" ref="AU415:AU416" si="1869">(AT415*$E415*$F415*$G415*$M415*$AU$12)/12*10+(AT415*$E415*$F415*$G415*$M415*$AU$13)/12+(AT415*$E415*$F415*$G415*$M415*$AU$14*$AU$15)/12</f>
        <v>1830075.2722630561</v>
      </c>
      <c r="AV415" s="188"/>
      <c r="AW415" s="182">
        <f>(AV415*$E415*$F415*$G415*$M415*$AW$12)</f>
        <v>0</v>
      </c>
      <c r="AX415" s="182"/>
      <c r="AY415" s="187">
        <f>(AX415*$E415*$F415*$G415*$M415*$AY$12)</f>
        <v>0</v>
      </c>
      <c r="AZ415" s="182"/>
      <c r="BA415" s="182">
        <f>(AZ415*$E415*$F415*$G415*$L415*$BA$12)</f>
        <v>0</v>
      </c>
      <c r="BB415" s="182"/>
      <c r="BC415" s="182">
        <f>(BB415*$E415*$F415*$G415*$L415*$BC$12)</f>
        <v>0</v>
      </c>
      <c r="BD415" s="182"/>
      <c r="BE415" s="182">
        <f>(BD415*$E415*$F415*$G415*$L415*$BE$12)</f>
        <v>0</v>
      </c>
      <c r="BF415" s="182"/>
      <c r="BG415" s="182">
        <f>(BF415*$E415*$F415*$G415*$L415*$BG$12)</f>
        <v>0</v>
      </c>
      <c r="BH415" s="182"/>
      <c r="BI415" s="183">
        <f>(BH415*$E415*$F415*$G415*$L415*$BI$12)</f>
        <v>0</v>
      </c>
      <c r="BJ415" s="182"/>
      <c r="BK415" s="183">
        <f>(BJ415*$E415*$F415*$G415*$L415*$BK$12)</f>
        <v>0</v>
      </c>
      <c r="BL415" s="182"/>
      <c r="BM415" s="182">
        <f>(BL415*$E415*$F415*$G415*$L415*$BM$12)</f>
        <v>0</v>
      </c>
      <c r="BN415" s="182">
        <v>11</v>
      </c>
      <c r="BO415" s="182">
        <f>(BN415*$E415*$F415*$G415*$M415*$BO$12)</f>
        <v>1478113.9296000001</v>
      </c>
      <c r="BP415" s="182">
        <v>6</v>
      </c>
      <c r="BQ415" s="182">
        <f t="shared" ref="BQ415" si="1870">(BP415/12*11*$E415*$F415*$G415*$M415*$BQ$12)+(BP415/12*$E415*$F415*$G415*$M415*$BQ$14*$BQ$15)</f>
        <v>788264.11046543997</v>
      </c>
      <c r="BR415" s="182"/>
      <c r="BS415" s="183">
        <f>(BR415*$E415*$F415*$G415*$M415*$BS$12)</f>
        <v>0</v>
      </c>
      <c r="BT415" s="182"/>
      <c r="BU415" s="182">
        <f>(BT415*$E415*$F415*$G415*$M415*$BU$12)</f>
        <v>0</v>
      </c>
      <c r="BV415" s="182"/>
      <c r="BW415" s="182">
        <f>(BV415*$E415*$F415*$G415*$M415*$BW$12)</f>
        <v>0</v>
      </c>
      <c r="BX415" s="182"/>
      <c r="BY415" s="183">
        <f>(BX415*$E415*$F415*$G415*$M415*$BY$12)</f>
        <v>0</v>
      </c>
      <c r="BZ415" s="182">
        <v>3</v>
      </c>
      <c r="CA415" s="187">
        <f t="shared" ref="CA415:CA416" si="1871">(BZ415*$E415*$F415*$G415*$M415*$CA$12)/12*11+(BZ415*$E415*$F415*$G415*$M415*$CA$12*$CA$15)/12</f>
        <v>478954.72250640002</v>
      </c>
      <c r="CB415" s="182"/>
      <c r="CC415" s="182">
        <f>(CB415*$E415*$F415*$G415*$L415*$CC$12)</f>
        <v>0</v>
      </c>
      <c r="CD415" s="182"/>
      <c r="CE415" s="182">
        <f>(CD415*$E415*$F415*$G415*$L415*$CE$12)</f>
        <v>0</v>
      </c>
      <c r="CF415" s="182"/>
      <c r="CG415" s="182">
        <f>(CF415*$E415*$F415*$G415*$L415*$CG$12)</f>
        <v>0</v>
      </c>
      <c r="CH415" s="182"/>
      <c r="CI415" s="182">
        <f>(CH415*$E415*$F415*$G415*$M415*$CI$12)</f>
        <v>0</v>
      </c>
      <c r="CJ415" s="182"/>
      <c r="CK415" s="182"/>
      <c r="CL415" s="182"/>
      <c r="CM415" s="183">
        <f>(CL415*$E415*$F415*$G415*$L415*$CM$12)</f>
        <v>0</v>
      </c>
      <c r="CN415" s="182"/>
      <c r="CO415" s="183">
        <f>(CN415*$E415*$F415*$G415*$L415*$CO$12)</f>
        <v>0</v>
      </c>
      <c r="CP415" s="182"/>
      <c r="CQ415" s="182">
        <f>(CP415*$E415*$F415*$G415*$L415*$CQ$12)</f>
        <v>0</v>
      </c>
      <c r="CR415" s="182"/>
      <c r="CS415" s="182">
        <f>(CR415*$E415*$F415*$G415*$L415*$CS$12)</f>
        <v>0</v>
      </c>
      <c r="CT415" s="182">
        <v>1</v>
      </c>
      <c r="CU415" s="182">
        <f t="shared" ref="CU415:CU416" si="1872">(CT415*$E415*$F415*$G415*$L415*$CU$12)/12*11+(CT415*$E415*$F415*$G415*$L415*$CU$12*$CU$15)/12</f>
        <v>106867.0263192</v>
      </c>
      <c r="CV415" s="182">
        <v>1</v>
      </c>
      <c r="CW415" s="182">
        <v>122158.18</v>
      </c>
      <c r="CX415" s="182"/>
      <c r="CY415" s="182">
        <f>(CX415*$E415*$F415*$G415*$M415*$CY$12)</f>
        <v>0</v>
      </c>
      <c r="CZ415" s="182">
        <v>21</v>
      </c>
      <c r="DA415" s="182">
        <v>2473703.15</v>
      </c>
      <c r="DB415" s="188"/>
      <c r="DC415" s="182">
        <f>(DB415*$E415*$F415*$G415*$M415*$DC$12)</f>
        <v>0</v>
      </c>
      <c r="DD415" s="182"/>
      <c r="DE415" s="187"/>
      <c r="DF415" s="182"/>
      <c r="DG415" s="182">
        <f>(DF415*$E415*$F415*$G415*$M415*$DG$12)</f>
        <v>0</v>
      </c>
      <c r="DH415" s="189"/>
      <c r="DI415" s="182">
        <f>(DH415*$E415*$F415*$G415*$M415*$DI$12)</f>
        <v>0</v>
      </c>
      <c r="DJ415" s="182"/>
      <c r="DK415" s="182">
        <f>(DJ415*$E415*$F415*$G415*$M415*$DK$12)</f>
        <v>0</v>
      </c>
      <c r="DL415" s="182"/>
      <c r="DM415" s="182">
        <f>(DL415*$E415*$F415*$G415*$N415*$DM$12)</f>
        <v>0</v>
      </c>
      <c r="DN415" s="182"/>
      <c r="DO415" s="190">
        <f>(DN415*$E415*$F415*$G415*$O415*$DO$12)</f>
        <v>0</v>
      </c>
      <c r="DP415" s="187"/>
      <c r="DQ415" s="187"/>
      <c r="DR415" s="183">
        <f t="shared" si="1865"/>
        <v>282</v>
      </c>
      <c r="DS415" s="183">
        <f t="shared" si="1865"/>
        <v>35349679.535078473</v>
      </c>
      <c r="DT415" s="182">
        <v>242</v>
      </c>
      <c r="DU415" s="182">
        <v>29890409.115866672</v>
      </c>
      <c r="DV415" s="167">
        <f t="shared" si="1800"/>
        <v>40</v>
      </c>
      <c r="DW415" s="167">
        <f t="shared" si="1800"/>
        <v>5459270.4192118011</v>
      </c>
    </row>
    <row r="416" spans="1:127" ht="45" customHeight="1" x14ac:dyDescent="0.25">
      <c r="A416" s="154"/>
      <c r="B416" s="176">
        <v>365</v>
      </c>
      <c r="C416" s="177" t="s">
        <v>900</v>
      </c>
      <c r="D416" s="210" t="s">
        <v>901</v>
      </c>
      <c r="E416" s="158">
        <v>25969</v>
      </c>
      <c r="F416" s="179">
        <v>0.32</v>
      </c>
      <c r="G416" s="168">
        <v>1</v>
      </c>
      <c r="H416" s="169"/>
      <c r="I416" s="169"/>
      <c r="J416" s="169"/>
      <c r="K416" s="106"/>
      <c r="L416" s="180">
        <v>1.4</v>
      </c>
      <c r="M416" s="180">
        <v>1.68</v>
      </c>
      <c r="N416" s="180">
        <v>2.23</v>
      </c>
      <c r="O416" s="181">
        <v>2.57</v>
      </c>
      <c r="P416" s="311">
        <v>4</v>
      </c>
      <c r="Q416" s="182">
        <f>(P416*$E416*$F416*$G416*$L416*$Q$12)</f>
        <v>51190.092799999999</v>
      </c>
      <c r="R416" s="182"/>
      <c r="S416" s="182">
        <f>(R416*$E416*$F416*$G416*$L416*$S$12)</f>
        <v>0</v>
      </c>
      <c r="T416" s="182"/>
      <c r="U416" s="182">
        <f t="shared" si="1866"/>
        <v>0</v>
      </c>
      <c r="V416" s="182">
        <v>20</v>
      </c>
      <c r="W416" s="183">
        <f>(V416*$E416*$F416*$G416*$L416*$W$12)/12*10+(V416*$E416*$F416*$G416*$L416*$W$13)/12*1+(V416*$E416*$F416*$G416*$L416*$W$14*$W$15)/12*1</f>
        <v>295915.34505642665</v>
      </c>
      <c r="X416" s="183">
        <v>3</v>
      </c>
      <c r="Y416" s="183">
        <v>48863.270400000001</v>
      </c>
      <c r="Z416" s="183"/>
      <c r="AA416" s="183">
        <v>0</v>
      </c>
      <c r="AB416" s="182">
        <f t="shared" si="1867"/>
        <v>3</v>
      </c>
      <c r="AC416" s="182">
        <f t="shared" si="1867"/>
        <v>48863.270400000001</v>
      </c>
      <c r="AD416" s="182"/>
      <c r="AE416" s="182">
        <f>(AD416*$E416*$F416*$G416*$L416*$AE$12)</f>
        <v>0</v>
      </c>
      <c r="AF416" s="182"/>
      <c r="AG416" s="182"/>
      <c r="AH416" s="182"/>
      <c r="AI416" s="182">
        <f>(AH416*$E416*$F416*$G416*$L416*$AI$12)</f>
        <v>0</v>
      </c>
      <c r="AJ416" s="182"/>
      <c r="AK416" s="182"/>
      <c r="AL416" s="182"/>
      <c r="AM416" s="182"/>
      <c r="AN416" s="184"/>
      <c r="AO416" s="182">
        <f>(AN416*$E416*$F416*$G416*$L416*$AO$12)</f>
        <v>0</v>
      </c>
      <c r="AP416" s="182"/>
      <c r="AQ416" s="183">
        <f>(AP416*$E416*$F416*$G416*$L416*$AQ$12)</f>
        <v>0</v>
      </c>
      <c r="AR416" s="182">
        <v>6</v>
      </c>
      <c r="AS416" s="182">
        <f t="shared" ref="AS416" si="1873">(AR416*$E416*$F416*$G416*$L416*$AS$12)/12*10+(AR416*$E416*$F416*$G416*$L416*$AS$13)/12*1+(AR416*$E416*$F416*$L416*$G416*$AS$14*$AS$15)/12*1</f>
        <v>82891.884588800021</v>
      </c>
      <c r="AT416" s="182">
        <f>24-8-4</f>
        <v>12</v>
      </c>
      <c r="AU416" s="182">
        <f t="shared" si="1869"/>
        <v>193062.88586511361</v>
      </c>
      <c r="AV416" s="188"/>
      <c r="AW416" s="182">
        <f>(AV416*$E416*$F416*$G416*$M416*$AW$12)</f>
        <v>0</v>
      </c>
      <c r="AX416" s="182"/>
      <c r="AY416" s="187">
        <f>(AX416*$E416*$F416*$G416*$M416*$AY$12)</f>
        <v>0</v>
      </c>
      <c r="AZ416" s="182"/>
      <c r="BA416" s="182">
        <f>(AZ416*$E416*$F416*$G416*$L416*$BA$12)</f>
        <v>0</v>
      </c>
      <c r="BB416" s="182"/>
      <c r="BC416" s="182">
        <f>(BB416*$E416*$F416*$G416*$L416*$BC$12)</f>
        <v>0</v>
      </c>
      <c r="BD416" s="182"/>
      <c r="BE416" s="182">
        <f>(BD416*$E416*$F416*$G416*$L416*$BE$12)</f>
        <v>0</v>
      </c>
      <c r="BF416" s="182"/>
      <c r="BG416" s="182">
        <f>(BF416*$E416*$F416*$G416*$L416*$BG$12)</f>
        <v>0</v>
      </c>
      <c r="BH416" s="182"/>
      <c r="BI416" s="183">
        <f>(BH416*$E416*$F416*$G416*$L416*$BI$12)</f>
        <v>0</v>
      </c>
      <c r="BJ416" s="182"/>
      <c r="BK416" s="183">
        <f>(BJ416*$E416*$F416*$G416*$L416*$BK$12)</f>
        <v>0</v>
      </c>
      <c r="BL416" s="182"/>
      <c r="BM416" s="182">
        <f>(BL416*$E416*$F416*$G416*$L416*$BM$12)</f>
        <v>0</v>
      </c>
      <c r="BN416" s="182"/>
      <c r="BO416" s="182">
        <f>(BN416*$E416*$F416*$G416*$M416*$BO$12)</f>
        <v>0</v>
      </c>
      <c r="BP416" s="182"/>
      <c r="BQ416" s="182">
        <f>(BP416*$E416*$F416*$G416*$M416*$BQ$12)</f>
        <v>0</v>
      </c>
      <c r="BR416" s="182"/>
      <c r="BS416" s="183">
        <f>(BR416*$E416*$F416*$G416*$M416*$BS$12)</f>
        <v>0</v>
      </c>
      <c r="BT416" s="182"/>
      <c r="BU416" s="182">
        <f>(BT416*$E416*$F416*$G416*$M416*$BU$12)</f>
        <v>0</v>
      </c>
      <c r="BV416" s="182">
        <v>2</v>
      </c>
      <c r="BW416" s="182">
        <f>(BV416*$E416*$F416*$G416*$M416*$BW$12)</f>
        <v>25129.681919999999</v>
      </c>
      <c r="BX416" s="182">
        <v>6</v>
      </c>
      <c r="BY416" s="183">
        <f t="shared" ref="BY416" si="1874">(BX416*$E416*$F416*$G416*$M416*$BY$12)/12*11+(BX416*$E416*$F416*$G416*$M416*$BY$12*$BY$15)/12</f>
        <v>112972.998039552</v>
      </c>
      <c r="BZ416" s="182">
        <v>42</v>
      </c>
      <c r="CA416" s="187">
        <f t="shared" si="1871"/>
        <v>766327.55601023987</v>
      </c>
      <c r="CB416" s="182"/>
      <c r="CC416" s="182">
        <f>(CB416*$E416*$F416*$G416*$L416*$CC$12)</f>
        <v>0</v>
      </c>
      <c r="CD416" s="182"/>
      <c r="CE416" s="182">
        <f>(CD416*$E416*$F416*$G416*$L416*$CE$12)</f>
        <v>0</v>
      </c>
      <c r="CF416" s="182"/>
      <c r="CG416" s="182">
        <f>(CF416*$E416*$F416*$G416*$L416*$CG$12)</f>
        <v>0</v>
      </c>
      <c r="CH416" s="182"/>
      <c r="CI416" s="182">
        <f>(CH416*$E416*$F416*$G416*$M416*$CI$12)</f>
        <v>0</v>
      </c>
      <c r="CJ416" s="182"/>
      <c r="CK416" s="182"/>
      <c r="CL416" s="182"/>
      <c r="CM416" s="183">
        <f>(CL416*$E416*$F416*$G416*$L416*$CM$12)</f>
        <v>0</v>
      </c>
      <c r="CN416" s="182"/>
      <c r="CO416" s="183">
        <f>(CN416*$E416*$F416*$G416*$L416*$CO$12)</f>
        <v>0</v>
      </c>
      <c r="CP416" s="182"/>
      <c r="CQ416" s="182">
        <f>(CP416*$E416*$F416*$G416*$L416*$CQ$12)</f>
        <v>0</v>
      </c>
      <c r="CR416" s="182"/>
      <c r="CS416" s="182">
        <f>(CR416*$E416*$F416*$G416*$L416*$CS$12)</f>
        <v>0</v>
      </c>
      <c r="CT416" s="182">
        <v>3</v>
      </c>
      <c r="CU416" s="182">
        <f t="shared" si="1872"/>
        <v>36640.123309440009</v>
      </c>
      <c r="CV416" s="182"/>
      <c r="CW416" s="182">
        <v>0</v>
      </c>
      <c r="CX416" s="182"/>
      <c r="CY416" s="182">
        <f>(CX416*$E416*$F416*$G416*$M416*$CY$12)</f>
        <v>0</v>
      </c>
      <c r="CZ416" s="182"/>
      <c r="DA416" s="182">
        <v>0</v>
      </c>
      <c r="DB416" s="188"/>
      <c r="DC416" s="182">
        <f>(DB416*$E416*$F416*$G416*$M416*$DC$12)</f>
        <v>0</v>
      </c>
      <c r="DD416" s="182"/>
      <c r="DE416" s="187"/>
      <c r="DF416" s="182"/>
      <c r="DG416" s="182">
        <f>(DF416*$E416*$F416*$G416*$M416*$DG$12)</f>
        <v>0</v>
      </c>
      <c r="DH416" s="189"/>
      <c r="DI416" s="182">
        <f>(DH416*$E416*$F416*$G416*$M416*$DI$12)</f>
        <v>0</v>
      </c>
      <c r="DJ416" s="182">
        <v>22</v>
      </c>
      <c r="DK416" s="182">
        <f>(DJ416/12*11*$E416*$F416*$G416*$M416*$DK$12)+(DJ416/12*1*$E416*$F416*$M416*$G416*$DK$12*$DK$15)</f>
        <v>334688.50524031994</v>
      </c>
      <c r="DL416" s="182"/>
      <c r="DM416" s="182">
        <f>(DL416*$E416*$F416*$G416*$N416*$DM$12)</f>
        <v>0</v>
      </c>
      <c r="DN416" s="182">
        <f>ROUND(10*0.75,0)</f>
        <v>8</v>
      </c>
      <c r="DO416" s="190">
        <f>(DN416*$E416*$F416*$G416*$O416*$DO$12)</f>
        <v>170855.24479999999</v>
      </c>
      <c r="DP416" s="182"/>
      <c r="DQ416" s="187"/>
      <c r="DR416" s="183">
        <f t="shared" si="1865"/>
        <v>128</v>
      </c>
      <c r="DS416" s="183">
        <f t="shared" si="1865"/>
        <v>2118537.5880298922</v>
      </c>
      <c r="DT416" s="182">
        <v>128</v>
      </c>
      <c r="DU416" s="182">
        <v>2005128.1230933331</v>
      </c>
      <c r="DV416" s="167">
        <f t="shared" si="1800"/>
        <v>0</v>
      </c>
      <c r="DW416" s="167">
        <f t="shared" si="1800"/>
        <v>113409.46493655909</v>
      </c>
    </row>
    <row r="417" spans="1:127" ht="45" customHeight="1" x14ac:dyDescent="0.25">
      <c r="A417" s="154"/>
      <c r="B417" s="176">
        <v>366</v>
      </c>
      <c r="C417" s="177" t="s">
        <v>902</v>
      </c>
      <c r="D417" s="312" t="s">
        <v>903</v>
      </c>
      <c r="E417" s="158">
        <v>25969</v>
      </c>
      <c r="F417" s="168">
        <v>0.26</v>
      </c>
      <c r="G417" s="168">
        <v>1</v>
      </c>
      <c r="H417" s="169"/>
      <c r="I417" s="169"/>
      <c r="J417" s="169"/>
      <c r="K417" s="279">
        <v>0.3</v>
      </c>
      <c r="L417" s="180">
        <v>1.4</v>
      </c>
      <c r="M417" s="180">
        <v>1.68</v>
      </c>
      <c r="N417" s="180">
        <v>2.23</v>
      </c>
      <c r="O417" s="181">
        <v>2.57</v>
      </c>
      <c r="P417" s="311">
        <v>0</v>
      </c>
      <c r="Q417" s="196">
        <f>(P417*$E417*$F417*((1-$K417)+$K417*$L417*$Q$12*$G417))</f>
        <v>0</v>
      </c>
      <c r="R417" s="196"/>
      <c r="S417" s="196">
        <f>(R417*$E417*$F417*((1-$K417)+$K417*$L417*$S$12*$G417))</f>
        <v>0</v>
      </c>
      <c r="T417" s="196"/>
      <c r="U417" s="196">
        <f t="shared" ref="U417:U420" si="1875">(T417*$E417*$F417*((1-$K417)+$K417*$L417*U$12*$G417))</f>
        <v>0</v>
      </c>
      <c r="V417" s="182"/>
      <c r="W417" s="196">
        <f>(V417*$E417*$F417*((1-$K417)+$K417*$L417*$W$12*$G417))</f>
        <v>0</v>
      </c>
      <c r="X417" s="196"/>
      <c r="Y417" s="196">
        <v>0</v>
      </c>
      <c r="Z417" s="196"/>
      <c r="AA417" s="196">
        <v>0</v>
      </c>
      <c r="AB417" s="182">
        <f t="shared" si="1867"/>
        <v>0</v>
      </c>
      <c r="AC417" s="182">
        <f t="shared" si="1867"/>
        <v>0</v>
      </c>
      <c r="AD417" s="182"/>
      <c r="AE417" s="196">
        <f>(AD417*$E417*$F417*((1-$K417)+$K417*$L417*$AE$12*$G417))</f>
        <v>0</v>
      </c>
      <c r="AF417" s="182"/>
      <c r="AG417" s="182"/>
      <c r="AH417" s="182"/>
      <c r="AI417" s="196">
        <f t="shared" ref="AI417:AI420" si="1876">(AH417*$E417*$F417*((1-$K417)+$K417*$L417*AI$12*$G417))</f>
        <v>0</v>
      </c>
      <c r="AJ417" s="196"/>
      <c r="AK417" s="196"/>
      <c r="AL417" s="182"/>
      <c r="AM417" s="182"/>
      <c r="AN417" s="184"/>
      <c r="AO417" s="196">
        <f t="shared" ref="AO417:AO419" si="1877">(AN417*$E417*$F417*((1-$K417)+$K417*$G417*AO$12*$L417))</f>
        <v>0</v>
      </c>
      <c r="AP417" s="182"/>
      <c r="AQ417" s="196">
        <f t="shared" ref="AQ417:AQ420" si="1878">(AP417*$E417*$F417*((1-$K417)+$K417*$G417*AQ$12*$L417))</f>
        <v>0</v>
      </c>
      <c r="AR417" s="182"/>
      <c r="AS417" s="196">
        <f t="shared" ref="AS417:AS420" si="1879">(AR417*$E417*$F417*((1-$K417)+$K417*$G417*AS$12*$L417))</f>
        <v>0</v>
      </c>
      <c r="AT417" s="182"/>
      <c r="AU417" s="196">
        <f t="shared" ref="AU417:AU420" si="1880">(AT417*$E417*$F417*((1-$K417)+$K417*$G417*AU$12*$M417))</f>
        <v>0</v>
      </c>
      <c r="AV417" s="188"/>
      <c r="AW417" s="196">
        <f>(AV417*$E417*$F417*((1-$K417)+$K417*$M417*$AW$12*G417))</f>
        <v>0</v>
      </c>
      <c r="AX417" s="182"/>
      <c r="AY417" s="196">
        <f t="shared" ref="AY417:AY420" si="1881">(AX417*$E417*$F417*((1-$K417)+$K417*$G417*AY$12*$M417))</f>
        <v>0</v>
      </c>
      <c r="AZ417" s="182"/>
      <c r="BA417" s="182"/>
      <c r="BB417" s="182"/>
      <c r="BC417" s="182"/>
      <c r="BD417" s="182"/>
      <c r="BE417" s="182"/>
      <c r="BF417" s="182"/>
      <c r="BG417" s="182"/>
      <c r="BH417" s="182"/>
      <c r="BI417" s="182"/>
      <c r="BJ417" s="182"/>
      <c r="BK417" s="182"/>
      <c r="BL417" s="182"/>
      <c r="BM417" s="182"/>
      <c r="BN417" s="182"/>
      <c r="BO417" s="182"/>
      <c r="BP417" s="182"/>
      <c r="BQ417" s="182"/>
      <c r="BR417" s="182"/>
      <c r="BS417" s="182"/>
      <c r="BT417" s="182"/>
      <c r="BU417" s="182"/>
      <c r="BV417" s="182"/>
      <c r="BW417" s="182"/>
      <c r="BX417" s="182"/>
      <c r="BY417" s="182"/>
      <c r="BZ417" s="182"/>
      <c r="CA417" s="187"/>
      <c r="CB417" s="182"/>
      <c r="CC417" s="196">
        <f>(CB417*$E417*$F417*((1-$K417)+$K417*$G417*CC$12*$L417))</f>
        <v>0</v>
      </c>
      <c r="CD417" s="182"/>
      <c r="CE417" s="182"/>
      <c r="CF417" s="182"/>
      <c r="CG417" s="182"/>
      <c r="CH417" s="182"/>
      <c r="CI417" s="182"/>
      <c r="CJ417" s="182"/>
      <c r="CK417" s="182"/>
      <c r="CL417" s="182"/>
      <c r="CM417" s="182"/>
      <c r="CN417" s="182"/>
      <c r="CO417" s="182"/>
      <c r="CP417" s="182"/>
      <c r="CQ417" s="182"/>
      <c r="CR417" s="182"/>
      <c r="CS417" s="182"/>
      <c r="CT417" s="182"/>
      <c r="CU417" s="182"/>
      <c r="CV417" s="182"/>
      <c r="CW417" s="182">
        <v>0</v>
      </c>
      <c r="CX417" s="182"/>
      <c r="CY417" s="182"/>
      <c r="CZ417" s="182"/>
      <c r="DA417" s="182">
        <v>0</v>
      </c>
      <c r="DB417" s="188"/>
      <c r="DC417" s="182"/>
      <c r="DD417" s="182"/>
      <c r="DE417" s="187"/>
      <c r="DF417" s="182"/>
      <c r="DG417" s="182"/>
      <c r="DH417" s="189"/>
      <c r="DI417" s="182"/>
      <c r="DJ417" s="182"/>
      <c r="DK417" s="196">
        <f t="shared" ref="DK417:DK420" si="1882">(DJ417*$E417*$F417*((1-$K417)+$K417*$G417*DK$12*$M417))</f>
        <v>0</v>
      </c>
      <c r="DL417" s="182"/>
      <c r="DM417" s="182"/>
      <c r="DN417" s="182"/>
      <c r="DO417" s="182"/>
      <c r="DP417" s="182"/>
      <c r="DQ417" s="187"/>
      <c r="DR417" s="183">
        <f t="shared" si="1865"/>
        <v>0</v>
      </c>
      <c r="DS417" s="183">
        <f t="shared" si="1865"/>
        <v>0</v>
      </c>
      <c r="DT417" s="182">
        <v>0</v>
      </c>
      <c r="DU417" s="182">
        <v>0</v>
      </c>
      <c r="DV417" s="167">
        <f t="shared" si="1800"/>
        <v>0</v>
      </c>
      <c r="DW417" s="167">
        <f t="shared" si="1800"/>
        <v>0</v>
      </c>
    </row>
    <row r="418" spans="1:127" ht="45" customHeight="1" x14ac:dyDescent="0.25">
      <c r="A418" s="154"/>
      <c r="B418" s="176">
        <v>367</v>
      </c>
      <c r="C418" s="177" t="s">
        <v>904</v>
      </c>
      <c r="D418" s="312" t="s">
        <v>905</v>
      </c>
      <c r="E418" s="158">
        <v>25969</v>
      </c>
      <c r="F418" s="168">
        <v>0.76</v>
      </c>
      <c r="G418" s="168">
        <v>1</v>
      </c>
      <c r="H418" s="169"/>
      <c r="I418" s="169"/>
      <c r="J418" s="169"/>
      <c r="K418" s="279">
        <v>0.3</v>
      </c>
      <c r="L418" s="180">
        <v>1.4</v>
      </c>
      <c r="M418" s="180">
        <v>1.68</v>
      </c>
      <c r="N418" s="180">
        <v>2.23</v>
      </c>
      <c r="O418" s="181">
        <v>2.57</v>
      </c>
      <c r="P418" s="311">
        <v>0</v>
      </c>
      <c r="Q418" s="196">
        <f>(P418*$E418*$F418*((1-$K418)+$K418*$L418*$Q$12*$G418))</f>
        <v>0</v>
      </c>
      <c r="R418" s="196"/>
      <c r="S418" s="196">
        <f>(R418*$E418*$F418*((1-$K418)+$K418*$L418*$S$12*$G418))</f>
        <v>0</v>
      </c>
      <c r="T418" s="196"/>
      <c r="U418" s="196">
        <f t="shared" si="1875"/>
        <v>0</v>
      </c>
      <c r="V418" s="182"/>
      <c r="W418" s="196">
        <f>(V418*$E418*$F418*((1-$K418)+$K418*$L418*$W$12*$G418))</f>
        <v>0</v>
      </c>
      <c r="X418" s="196"/>
      <c r="Y418" s="196">
        <v>0</v>
      </c>
      <c r="Z418" s="196"/>
      <c r="AA418" s="196">
        <v>0</v>
      </c>
      <c r="AB418" s="182">
        <f t="shared" si="1867"/>
        <v>0</v>
      </c>
      <c r="AC418" s="182">
        <f t="shared" si="1867"/>
        <v>0</v>
      </c>
      <c r="AD418" s="182"/>
      <c r="AE418" s="196">
        <f>(AD418*$E418*$F418*((1-$K418)+$K418*$L418*$AE$12*$G418))</f>
        <v>0</v>
      </c>
      <c r="AF418" s="182"/>
      <c r="AG418" s="182"/>
      <c r="AH418" s="182"/>
      <c r="AI418" s="196">
        <f t="shared" si="1876"/>
        <v>0</v>
      </c>
      <c r="AJ418" s="196"/>
      <c r="AK418" s="196"/>
      <c r="AL418" s="182"/>
      <c r="AM418" s="182"/>
      <c r="AN418" s="184"/>
      <c r="AO418" s="196">
        <f t="shared" si="1877"/>
        <v>0</v>
      </c>
      <c r="AP418" s="182"/>
      <c r="AQ418" s="196">
        <f t="shared" si="1878"/>
        <v>0</v>
      </c>
      <c r="AR418" s="182"/>
      <c r="AS418" s="196">
        <f t="shared" si="1879"/>
        <v>0</v>
      </c>
      <c r="AT418" s="182"/>
      <c r="AU418" s="196">
        <f t="shared" si="1880"/>
        <v>0</v>
      </c>
      <c r="AV418" s="188"/>
      <c r="AW418" s="196">
        <f>(AV418*$E418*$F418*((1-$K418)+$K418*$M418*$AW$12*G418))</f>
        <v>0</v>
      </c>
      <c r="AX418" s="182"/>
      <c r="AY418" s="196">
        <f t="shared" si="1881"/>
        <v>0</v>
      </c>
      <c r="AZ418" s="182"/>
      <c r="BA418" s="182"/>
      <c r="BB418" s="182"/>
      <c r="BC418" s="182"/>
      <c r="BD418" s="182"/>
      <c r="BE418" s="182"/>
      <c r="BF418" s="182"/>
      <c r="BG418" s="182"/>
      <c r="BH418" s="182"/>
      <c r="BI418" s="182"/>
      <c r="BJ418" s="182"/>
      <c r="BK418" s="182"/>
      <c r="BL418" s="182"/>
      <c r="BM418" s="182"/>
      <c r="BN418" s="182"/>
      <c r="BO418" s="182"/>
      <c r="BP418" s="182"/>
      <c r="BQ418" s="182"/>
      <c r="BR418" s="182"/>
      <c r="BS418" s="182"/>
      <c r="BT418" s="182"/>
      <c r="BU418" s="182"/>
      <c r="BV418" s="182"/>
      <c r="BW418" s="182"/>
      <c r="BX418" s="182"/>
      <c r="BY418" s="182"/>
      <c r="BZ418" s="182"/>
      <c r="CA418" s="187"/>
      <c r="CB418" s="182"/>
      <c r="CC418" s="196">
        <f t="shared" ref="CC418:CC420" si="1883">(CB418*$E418*$F418*((1-$K418)+$K418*$G418*CC$12*$L418))</f>
        <v>0</v>
      </c>
      <c r="CD418" s="182"/>
      <c r="CE418" s="182"/>
      <c r="CF418" s="182"/>
      <c r="CG418" s="182"/>
      <c r="CH418" s="182"/>
      <c r="CI418" s="182"/>
      <c r="CJ418" s="182"/>
      <c r="CK418" s="182"/>
      <c r="CL418" s="182"/>
      <c r="CM418" s="182"/>
      <c r="CN418" s="182"/>
      <c r="CO418" s="182"/>
      <c r="CP418" s="182"/>
      <c r="CQ418" s="182"/>
      <c r="CR418" s="182"/>
      <c r="CS418" s="182"/>
      <c r="CT418" s="182"/>
      <c r="CU418" s="182"/>
      <c r="CV418" s="182"/>
      <c r="CW418" s="182">
        <v>0</v>
      </c>
      <c r="CX418" s="182"/>
      <c r="CY418" s="182"/>
      <c r="CZ418" s="182"/>
      <c r="DA418" s="182">
        <v>0</v>
      </c>
      <c r="DB418" s="188"/>
      <c r="DC418" s="182"/>
      <c r="DD418" s="182"/>
      <c r="DE418" s="187"/>
      <c r="DF418" s="182"/>
      <c r="DG418" s="182"/>
      <c r="DH418" s="189"/>
      <c r="DI418" s="182"/>
      <c r="DJ418" s="182"/>
      <c r="DK418" s="196">
        <f t="shared" si="1882"/>
        <v>0</v>
      </c>
      <c r="DL418" s="182"/>
      <c r="DM418" s="182"/>
      <c r="DN418" s="182"/>
      <c r="DO418" s="182"/>
      <c r="DP418" s="182"/>
      <c r="DQ418" s="187"/>
      <c r="DR418" s="183">
        <f t="shared" si="1865"/>
        <v>0</v>
      </c>
      <c r="DS418" s="183">
        <f t="shared" si="1865"/>
        <v>0</v>
      </c>
      <c r="DT418" s="182">
        <v>0</v>
      </c>
      <c r="DU418" s="182">
        <v>0</v>
      </c>
      <c r="DV418" s="167">
        <f t="shared" si="1800"/>
        <v>0</v>
      </c>
      <c r="DW418" s="167">
        <f t="shared" si="1800"/>
        <v>0</v>
      </c>
    </row>
    <row r="419" spans="1:127" ht="45" customHeight="1" x14ac:dyDescent="0.25">
      <c r="A419" s="154"/>
      <c r="B419" s="176">
        <v>368</v>
      </c>
      <c r="C419" s="177" t="s">
        <v>906</v>
      </c>
      <c r="D419" s="312" t="s">
        <v>907</v>
      </c>
      <c r="E419" s="158">
        <v>25969</v>
      </c>
      <c r="F419" s="168">
        <v>1.38</v>
      </c>
      <c r="G419" s="168">
        <v>1</v>
      </c>
      <c r="H419" s="169"/>
      <c r="I419" s="169"/>
      <c r="J419" s="169"/>
      <c r="K419" s="279">
        <v>0.3</v>
      </c>
      <c r="L419" s="180">
        <v>1.4</v>
      </c>
      <c r="M419" s="180">
        <v>1.68</v>
      </c>
      <c r="N419" s="180">
        <v>2.23</v>
      </c>
      <c r="O419" s="181">
        <v>2.57</v>
      </c>
      <c r="P419" s="311">
        <v>0</v>
      </c>
      <c r="Q419" s="196">
        <f>(P419*$E419*$F419*((1-$K419)+$K419*$L419*$Q$12*$G419))</f>
        <v>0</v>
      </c>
      <c r="R419" s="196"/>
      <c r="S419" s="196">
        <f>(R419*$E419*$F419*((1-$K419)+$K419*$L419*$S$12*$G419))</f>
        <v>0</v>
      </c>
      <c r="T419" s="196"/>
      <c r="U419" s="196">
        <f t="shared" si="1875"/>
        <v>0</v>
      </c>
      <c r="V419" s="182"/>
      <c r="W419" s="196">
        <f>(V419*$E419*$F419*((1-$K419)+$K419*$L419*$W$12*$G419))</f>
        <v>0</v>
      </c>
      <c r="X419" s="196"/>
      <c r="Y419" s="196">
        <v>0</v>
      </c>
      <c r="Z419" s="196"/>
      <c r="AA419" s="196">
        <v>0</v>
      </c>
      <c r="AB419" s="182">
        <f t="shared" si="1867"/>
        <v>0</v>
      </c>
      <c r="AC419" s="182">
        <f t="shared" si="1867"/>
        <v>0</v>
      </c>
      <c r="AD419" s="182"/>
      <c r="AE419" s="196">
        <f>(AD419*$E419*$F419*((1-$K419)+$K419*$L419*$AE$12*$G419))</f>
        <v>0</v>
      </c>
      <c r="AF419" s="182"/>
      <c r="AG419" s="182"/>
      <c r="AH419" s="182"/>
      <c r="AI419" s="196">
        <f t="shared" si="1876"/>
        <v>0</v>
      </c>
      <c r="AJ419" s="196"/>
      <c r="AK419" s="196"/>
      <c r="AL419" s="182"/>
      <c r="AM419" s="182"/>
      <c r="AN419" s="184"/>
      <c r="AO419" s="196">
        <f t="shared" si="1877"/>
        <v>0</v>
      </c>
      <c r="AP419" s="182"/>
      <c r="AQ419" s="196">
        <f t="shared" si="1878"/>
        <v>0</v>
      </c>
      <c r="AR419" s="182"/>
      <c r="AS419" s="196">
        <f t="shared" si="1879"/>
        <v>0</v>
      </c>
      <c r="AT419" s="182"/>
      <c r="AU419" s="196">
        <f t="shared" si="1880"/>
        <v>0</v>
      </c>
      <c r="AV419" s="188"/>
      <c r="AW419" s="196">
        <f>(AV419*$E419*$F419*((1-$K419)+$K419*$M419*$AW$12*G419))</f>
        <v>0</v>
      </c>
      <c r="AX419" s="182"/>
      <c r="AY419" s="196">
        <f t="shared" si="1881"/>
        <v>0</v>
      </c>
      <c r="AZ419" s="182"/>
      <c r="BA419" s="182"/>
      <c r="BB419" s="182"/>
      <c r="BC419" s="182"/>
      <c r="BD419" s="182"/>
      <c r="BE419" s="182"/>
      <c r="BF419" s="182"/>
      <c r="BG419" s="182"/>
      <c r="BH419" s="182"/>
      <c r="BI419" s="182"/>
      <c r="BJ419" s="182"/>
      <c r="BK419" s="182"/>
      <c r="BL419" s="182"/>
      <c r="BM419" s="182"/>
      <c r="BN419" s="182"/>
      <c r="BO419" s="182"/>
      <c r="BP419" s="182"/>
      <c r="BQ419" s="182"/>
      <c r="BR419" s="182"/>
      <c r="BS419" s="182"/>
      <c r="BT419" s="182"/>
      <c r="BU419" s="182"/>
      <c r="BV419" s="182"/>
      <c r="BW419" s="182"/>
      <c r="BX419" s="182"/>
      <c r="BY419" s="182"/>
      <c r="BZ419" s="182"/>
      <c r="CA419" s="187"/>
      <c r="CB419" s="182"/>
      <c r="CC419" s="196">
        <f t="shared" si="1883"/>
        <v>0</v>
      </c>
      <c r="CD419" s="182"/>
      <c r="CE419" s="182"/>
      <c r="CF419" s="182"/>
      <c r="CG419" s="182"/>
      <c r="CH419" s="182"/>
      <c r="CI419" s="182"/>
      <c r="CJ419" s="182"/>
      <c r="CK419" s="182"/>
      <c r="CL419" s="182"/>
      <c r="CM419" s="182"/>
      <c r="CN419" s="182"/>
      <c r="CO419" s="182"/>
      <c r="CP419" s="182"/>
      <c r="CQ419" s="182"/>
      <c r="CR419" s="182"/>
      <c r="CS419" s="182"/>
      <c r="CT419" s="182"/>
      <c r="CU419" s="182"/>
      <c r="CV419" s="182"/>
      <c r="CW419" s="182">
        <v>0</v>
      </c>
      <c r="CX419" s="182"/>
      <c r="CY419" s="182"/>
      <c r="CZ419" s="182"/>
      <c r="DA419" s="182">
        <v>0</v>
      </c>
      <c r="DB419" s="188"/>
      <c r="DC419" s="182"/>
      <c r="DD419" s="182"/>
      <c r="DE419" s="187"/>
      <c r="DF419" s="182"/>
      <c r="DG419" s="182"/>
      <c r="DH419" s="189"/>
      <c r="DI419" s="182"/>
      <c r="DJ419" s="182"/>
      <c r="DK419" s="196">
        <f t="shared" si="1882"/>
        <v>0</v>
      </c>
      <c r="DL419" s="182"/>
      <c r="DM419" s="182"/>
      <c r="DN419" s="182"/>
      <c r="DO419" s="182"/>
      <c r="DP419" s="182"/>
      <c r="DQ419" s="187"/>
      <c r="DR419" s="183">
        <f t="shared" si="1865"/>
        <v>0</v>
      </c>
      <c r="DS419" s="183">
        <f t="shared" si="1865"/>
        <v>0</v>
      </c>
      <c r="DT419" s="182">
        <v>0</v>
      </c>
      <c r="DU419" s="182">
        <v>0</v>
      </c>
      <c r="DV419" s="167">
        <f t="shared" si="1800"/>
        <v>0</v>
      </c>
      <c r="DW419" s="167">
        <f t="shared" si="1800"/>
        <v>0</v>
      </c>
    </row>
    <row r="420" spans="1:127" ht="45" customHeight="1" x14ac:dyDescent="0.25">
      <c r="A420" s="154"/>
      <c r="B420" s="176">
        <v>369</v>
      </c>
      <c r="C420" s="177" t="s">
        <v>908</v>
      </c>
      <c r="D420" s="312" t="s">
        <v>909</v>
      </c>
      <c r="E420" s="158">
        <v>25969</v>
      </c>
      <c r="F420" s="168">
        <v>2.91</v>
      </c>
      <c r="G420" s="168">
        <v>1</v>
      </c>
      <c r="H420" s="169"/>
      <c r="I420" s="169"/>
      <c r="J420" s="169"/>
      <c r="K420" s="195">
        <v>6.6100000000000006E-2</v>
      </c>
      <c r="L420" s="180">
        <v>1.4</v>
      </c>
      <c r="M420" s="180">
        <v>1.68</v>
      </c>
      <c r="N420" s="180">
        <v>2.23</v>
      </c>
      <c r="O420" s="181">
        <v>2.57</v>
      </c>
      <c r="P420" s="311">
        <v>0</v>
      </c>
      <c r="Q420" s="196">
        <f>(P420*$E420*$F420*((1-$K420)+$K420*$L420*$Q$12*$G420))</f>
        <v>0</v>
      </c>
      <c r="R420" s="196"/>
      <c r="S420" s="196">
        <f>(R420*$E420*$F420*((1-$K420)+$K420*$L420*$S$12*$G420))</f>
        <v>0</v>
      </c>
      <c r="T420" s="196"/>
      <c r="U420" s="196">
        <f t="shared" si="1875"/>
        <v>0</v>
      </c>
      <c r="V420" s="182"/>
      <c r="W420" s="196">
        <f>(V420*$E420*$F420*((1-$K420)+$K420*$L420*$W$12*$G420))</f>
        <v>0</v>
      </c>
      <c r="X420" s="196"/>
      <c r="Y420" s="196">
        <v>0</v>
      </c>
      <c r="Z420" s="196"/>
      <c r="AA420" s="196">
        <v>0</v>
      </c>
      <c r="AB420" s="182">
        <f t="shared" si="1867"/>
        <v>0</v>
      </c>
      <c r="AC420" s="182">
        <f t="shared" si="1867"/>
        <v>0</v>
      </c>
      <c r="AD420" s="182"/>
      <c r="AE420" s="196">
        <f>(AD420*$E420*$F420*((1-$K420)+$K420*$L420*$AE$12*$G420))</f>
        <v>0</v>
      </c>
      <c r="AF420" s="182"/>
      <c r="AG420" s="182"/>
      <c r="AH420" s="182"/>
      <c r="AI420" s="196">
        <f t="shared" si="1876"/>
        <v>0</v>
      </c>
      <c r="AJ420" s="196"/>
      <c r="AK420" s="196"/>
      <c r="AL420" s="182"/>
      <c r="AM420" s="182"/>
      <c r="AN420" s="184"/>
      <c r="AO420" s="196">
        <f>(AN420*$E420*$F420*((1-$K420)+$K420*$G420*AO$12*$L420))</f>
        <v>0</v>
      </c>
      <c r="AP420" s="182"/>
      <c r="AQ420" s="196">
        <f t="shared" si="1878"/>
        <v>0</v>
      </c>
      <c r="AR420" s="182"/>
      <c r="AS420" s="196">
        <f t="shared" si="1879"/>
        <v>0</v>
      </c>
      <c r="AT420" s="182"/>
      <c r="AU420" s="196">
        <f t="shared" si="1880"/>
        <v>0</v>
      </c>
      <c r="AV420" s="188"/>
      <c r="AW420" s="196">
        <f>(AV420*$E420*$F420*((1-$K420)+$K420*$M420*$AW$12*G420))</f>
        <v>0</v>
      </c>
      <c r="AX420" s="182"/>
      <c r="AY420" s="196">
        <f t="shared" si="1881"/>
        <v>0</v>
      </c>
      <c r="AZ420" s="182"/>
      <c r="BA420" s="182"/>
      <c r="BB420" s="182"/>
      <c r="BC420" s="182"/>
      <c r="BD420" s="182"/>
      <c r="BE420" s="182"/>
      <c r="BF420" s="182"/>
      <c r="BG420" s="182"/>
      <c r="BH420" s="182"/>
      <c r="BI420" s="182"/>
      <c r="BJ420" s="182"/>
      <c r="BK420" s="182"/>
      <c r="BL420" s="182"/>
      <c r="BM420" s="182"/>
      <c r="BN420" s="182"/>
      <c r="BO420" s="182"/>
      <c r="BP420" s="182"/>
      <c r="BQ420" s="182"/>
      <c r="BR420" s="182"/>
      <c r="BS420" s="182"/>
      <c r="BT420" s="182"/>
      <c r="BU420" s="182"/>
      <c r="BV420" s="182"/>
      <c r="BW420" s="182"/>
      <c r="BX420" s="182"/>
      <c r="BY420" s="182"/>
      <c r="BZ420" s="182"/>
      <c r="CA420" s="187"/>
      <c r="CB420" s="182"/>
      <c r="CC420" s="196">
        <f t="shared" si="1883"/>
        <v>0</v>
      </c>
      <c r="CD420" s="182"/>
      <c r="CE420" s="182"/>
      <c r="CF420" s="182"/>
      <c r="CG420" s="182"/>
      <c r="CH420" s="182"/>
      <c r="CI420" s="182"/>
      <c r="CJ420" s="182"/>
      <c r="CK420" s="182"/>
      <c r="CL420" s="182"/>
      <c r="CM420" s="182"/>
      <c r="CN420" s="182"/>
      <c r="CO420" s="182"/>
      <c r="CP420" s="182"/>
      <c r="CQ420" s="182"/>
      <c r="CR420" s="182"/>
      <c r="CS420" s="182"/>
      <c r="CT420" s="182"/>
      <c r="CU420" s="182"/>
      <c r="CV420" s="182"/>
      <c r="CW420" s="182">
        <v>0</v>
      </c>
      <c r="CX420" s="182"/>
      <c r="CY420" s="182"/>
      <c r="CZ420" s="182"/>
      <c r="DA420" s="182">
        <v>0</v>
      </c>
      <c r="DB420" s="188"/>
      <c r="DC420" s="182"/>
      <c r="DD420" s="182"/>
      <c r="DE420" s="187"/>
      <c r="DF420" s="182"/>
      <c r="DG420" s="182"/>
      <c r="DH420" s="189"/>
      <c r="DI420" s="182"/>
      <c r="DJ420" s="182"/>
      <c r="DK420" s="196">
        <f t="shared" si="1882"/>
        <v>0</v>
      </c>
      <c r="DL420" s="182"/>
      <c r="DM420" s="182"/>
      <c r="DN420" s="182"/>
      <c r="DO420" s="182"/>
      <c r="DP420" s="182"/>
      <c r="DQ420" s="187"/>
      <c r="DR420" s="183">
        <f t="shared" si="1865"/>
        <v>0</v>
      </c>
      <c r="DS420" s="183">
        <f t="shared" si="1865"/>
        <v>0</v>
      </c>
      <c r="DT420" s="182">
        <v>0</v>
      </c>
      <c r="DU420" s="182">
        <v>0</v>
      </c>
      <c r="DV420" s="167">
        <f t="shared" si="1800"/>
        <v>0</v>
      </c>
      <c r="DW420" s="167">
        <f t="shared" si="1800"/>
        <v>0</v>
      </c>
    </row>
    <row r="421" spans="1:127" ht="45" customHeight="1" x14ac:dyDescent="0.25">
      <c r="A421" s="154"/>
      <c r="B421" s="176">
        <v>370</v>
      </c>
      <c r="C421" s="177" t="s">
        <v>910</v>
      </c>
      <c r="D421" s="210" t="s">
        <v>911</v>
      </c>
      <c r="E421" s="158">
        <v>25969</v>
      </c>
      <c r="F421" s="179">
        <v>0.46</v>
      </c>
      <c r="G421" s="168">
        <v>1</v>
      </c>
      <c r="H421" s="169"/>
      <c r="I421" s="169"/>
      <c r="J421" s="169"/>
      <c r="K421" s="106"/>
      <c r="L421" s="180">
        <v>1.4</v>
      </c>
      <c r="M421" s="180">
        <v>1.68</v>
      </c>
      <c r="N421" s="180">
        <v>2.23</v>
      </c>
      <c r="O421" s="181">
        <v>2.57</v>
      </c>
      <c r="P421" s="311">
        <v>0</v>
      </c>
      <c r="Q421" s="182">
        <f>(P421*$E421*$F421*$G421*$L421*$Q$12)</f>
        <v>0</v>
      </c>
      <c r="R421" s="182"/>
      <c r="S421" s="182">
        <f>(R421*$E421*$F421*$G421*$L421*$S$12)</f>
        <v>0</v>
      </c>
      <c r="T421" s="182"/>
      <c r="U421" s="182">
        <f t="shared" ref="U421:U422" si="1884">(T421/12*11*$E421*$F421*$G421*$L421*$U$12)+(T421/12*1*$E421*$F421*$G421*$L421*$U$14)</f>
        <v>0</v>
      </c>
      <c r="V421" s="182"/>
      <c r="W421" s="183">
        <f t="shared" ref="W421:W422" si="1885">(V421*$E421*$F421*$G421*$L421*$W$12)/12*10+(V421*$E421*$F421*$G421*$L421*$W$13)/12*1++(V421*$E421*$F421*$G421*$L421*$W$14)/12*1</f>
        <v>0</v>
      </c>
      <c r="X421" s="183"/>
      <c r="Y421" s="183">
        <v>0</v>
      </c>
      <c r="Z421" s="183"/>
      <c r="AA421" s="183">
        <v>0</v>
      </c>
      <c r="AB421" s="182">
        <f t="shared" si="1867"/>
        <v>0</v>
      </c>
      <c r="AC421" s="182">
        <f t="shared" si="1867"/>
        <v>0</v>
      </c>
      <c r="AD421" s="182"/>
      <c r="AE421" s="182">
        <f>(AD421*$E421*$F421*$G421*$L421*$AE$12)</f>
        <v>0</v>
      </c>
      <c r="AF421" s="182"/>
      <c r="AG421" s="182"/>
      <c r="AH421" s="182"/>
      <c r="AI421" s="182">
        <f>(AH421*$E421*$F421*$G421*$L421*$AI$12)</f>
        <v>0</v>
      </c>
      <c r="AJ421" s="182"/>
      <c r="AK421" s="182"/>
      <c r="AL421" s="182"/>
      <c r="AM421" s="182"/>
      <c r="AN421" s="184"/>
      <c r="AO421" s="182">
        <f>(AN421*$E421*$F421*$G421*$L421*$AO$12)</f>
        <v>0</v>
      </c>
      <c r="AP421" s="182"/>
      <c r="AQ421" s="183">
        <f>(AP421*$E421*$F421*$G421*$L421*$AQ$12)</f>
        <v>0</v>
      </c>
      <c r="AR421" s="182">
        <v>17</v>
      </c>
      <c r="AS421" s="182">
        <f t="shared" ref="AS421" si="1886">(AR421*$E421*$F421*$G421*$L421*$AS$12)/12*10+(AR421*$E421*$F421*$G421*$L421*$AS$13)/12*1+(AR421*$E421*$F421*$L421*$G421*$AS$14*$AS$15)/12*1</f>
        <v>337611.73827313335</v>
      </c>
      <c r="AT421" s="182"/>
      <c r="AU421" s="182">
        <f>(AT421*$E421*$F421*$G421*$M421*$AU$12)</f>
        <v>0</v>
      </c>
      <c r="AV421" s="188"/>
      <c r="AW421" s="182">
        <f>(AV421*$E421*$F421*$G421*$M421*$AW$12)</f>
        <v>0</v>
      </c>
      <c r="AX421" s="182"/>
      <c r="AY421" s="187">
        <f>(AX421*$E421*$F421*$G421*$M421*$AY$12)</f>
        <v>0</v>
      </c>
      <c r="AZ421" s="182"/>
      <c r="BA421" s="182">
        <f>(AZ421*$E421*$F421*$G421*$L421*$BA$12)</f>
        <v>0</v>
      </c>
      <c r="BB421" s="182">
        <v>0</v>
      </c>
      <c r="BC421" s="182">
        <f>(BB421*$E421*$F421*$G421*$L421*$BC$12)</f>
        <v>0</v>
      </c>
      <c r="BD421" s="182"/>
      <c r="BE421" s="182">
        <f>(BD421*$E421*$F421*$G421*$L421*$BE$12)</f>
        <v>0</v>
      </c>
      <c r="BF421" s="182"/>
      <c r="BG421" s="182">
        <f>(BF421*$E421*$F421*$G421*$L421*$BG$12)</f>
        <v>0</v>
      </c>
      <c r="BH421" s="182"/>
      <c r="BI421" s="183">
        <f>(BH421*$E421*$F421*$G421*$L421*$BI$12)</f>
        <v>0</v>
      </c>
      <c r="BJ421" s="182"/>
      <c r="BK421" s="183">
        <f>(BJ421*$E421*$F421*$G421*$L421*$BK$12)</f>
        <v>0</v>
      </c>
      <c r="BL421" s="182"/>
      <c r="BM421" s="182">
        <f>(BL421*$E421*$F421*$G421*$L421*$BM$12)</f>
        <v>0</v>
      </c>
      <c r="BN421" s="182"/>
      <c r="BO421" s="182">
        <f>(BN421*$E421*$F421*$G421*$M421*$BO$12)</f>
        <v>0</v>
      </c>
      <c r="BP421" s="182"/>
      <c r="BQ421" s="182">
        <f>(BP421*$E421*$F421*$G421*$M421*$BQ$12)</f>
        <v>0</v>
      </c>
      <c r="BR421" s="182"/>
      <c r="BS421" s="183">
        <f>(BR421*$E421*$F421*$G421*$M421*$BS$12)</f>
        <v>0</v>
      </c>
      <c r="BT421" s="182"/>
      <c r="BU421" s="182">
        <f>(BT421*$E421*$F421*$G421*$M421*$BU$12)</f>
        <v>0</v>
      </c>
      <c r="BV421" s="182"/>
      <c r="BW421" s="182">
        <f>(BV421*$E421*$F421*$G421*$M421*$BW$12)</f>
        <v>0</v>
      </c>
      <c r="BX421" s="182"/>
      <c r="BY421" s="183">
        <f>(BX421*$E421*$F421*$G421*$M421*$BY$12)</f>
        <v>0</v>
      </c>
      <c r="BZ421" s="182"/>
      <c r="CA421" s="187">
        <f t="shared" ref="CA421:CA422" si="1887">(BZ421*$E421*$F421*$G421*$M421*$CA$12)</f>
        <v>0</v>
      </c>
      <c r="CB421" s="182"/>
      <c r="CC421" s="182">
        <f>(CB421*$E421*$F421*$G421*$L421*$CC$12)</f>
        <v>0</v>
      </c>
      <c r="CD421" s="182"/>
      <c r="CE421" s="182">
        <f>(CD421*$E421*$F421*$G421*$L421*$CE$12)</f>
        <v>0</v>
      </c>
      <c r="CF421" s="182"/>
      <c r="CG421" s="182">
        <f>(CF421*$E421*$F421*$G421*$L421*$CG$12)</f>
        <v>0</v>
      </c>
      <c r="CH421" s="182"/>
      <c r="CI421" s="182">
        <f>(CH421*$E421*$F421*$G421*$M421*$CI$12)</f>
        <v>0</v>
      </c>
      <c r="CJ421" s="182"/>
      <c r="CK421" s="182"/>
      <c r="CL421" s="182"/>
      <c r="CM421" s="183">
        <f>(CL421*$E421*$F421*$G421*$L421*$CM$12)</f>
        <v>0</v>
      </c>
      <c r="CN421" s="182"/>
      <c r="CO421" s="183">
        <f>(CN421*$E421*$F421*$G421*$L421*$CO$12)</f>
        <v>0</v>
      </c>
      <c r="CP421" s="182"/>
      <c r="CQ421" s="182">
        <f>(CP421*$E421*$F421*$G421*$L421*$CQ$12)</f>
        <v>0</v>
      </c>
      <c r="CR421" s="182"/>
      <c r="CS421" s="182">
        <f>(CR421*$E421*$F421*$G421*$L421*$CS$12)</f>
        <v>0</v>
      </c>
      <c r="CT421" s="182"/>
      <c r="CU421" s="182">
        <f>(CT421*$E421*$F421*$G421*$L421*$CU$12)</f>
        <v>0</v>
      </c>
      <c r="CV421" s="182"/>
      <c r="CW421" s="182">
        <v>0</v>
      </c>
      <c r="CX421" s="182"/>
      <c r="CY421" s="182">
        <f>(CX421*$E421*$F421*$G421*$M421*$CY$12)</f>
        <v>0</v>
      </c>
      <c r="CZ421" s="182"/>
      <c r="DA421" s="182">
        <v>0</v>
      </c>
      <c r="DB421" s="188"/>
      <c r="DC421" s="182">
        <f>(DB421*$E421*$F421*$G421*$M421*$DC$12)</f>
        <v>0</v>
      </c>
      <c r="DD421" s="182"/>
      <c r="DE421" s="187"/>
      <c r="DF421" s="182"/>
      <c r="DG421" s="182">
        <f>(DF421*$E421*$F421*$G421*$M421*$DG$12)</f>
        <v>0</v>
      </c>
      <c r="DH421" s="189"/>
      <c r="DI421" s="182">
        <f>(DH421*$E421*$F421*$G421*$M421*$DI$12)</f>
        <v>0</v>
      </c>
      <c r="DJ421" s="182"/>
      <c r="DK421" s="182">
        <f>(DJ421*$E421*$F421*$G421*$M421*$DK$12)</f>
        <v>0</v>
      </c>
      <c r="DL421" s="182"/>
      <c r="DM421" s="182">
        <f>(DL421*$E421*$F421*$G421*$N421*$DM$12)</f>
        <v>0</v>
      </c>
      <c r="DN421" s="182"/>
      <c r="DO421" s="190">
        <f>(DN421*$E421*$F421*$G421*$O421*$DO$12)</f>
        <v>0</v>
      </c>
      <c r="DP421" s="182"/>
      <c r="DQ421" s="187"/>
      <c r="DR421" s="183">
        <f t="shared" si="1865"/>
        <v>17</v>
      </c>
      <c r="DS421" s="183">
        <f t="shared" si="1865"/>
        <v>337611.73827313335</v>
      </c>
      <c r="DT421" s="182">
        <v>17</v>
      </c>
      <c r="DU421" s="182">
        <v>324585.66536666674</v>
      </c>
      <c r="DV421" s="167">
        <f t="shared" si="1800"/>
        <v>0</v>
      </c>
      <c r="DW421" s="167">
        <f t="shared" si="1800"/>
        <v>13026.072906466608</v>
      </c>
    </row>
    <row r="422" spans="1:127" ht="30" customHeight="1" x14ac:dyDescent="0.25">
      <c r="A422" s="154"/>
      <c r="B422" s="176">
        <v>371</v>
      </c>
      <c r="C422" s="177" t="s">
        <v>912</v>
      </c>
      <c r="D422" s="210" t="s">
        <v>913</v>
      </c>
      <c r="E422" s="158">
        <v>25969</v>
      </c>
      <c r="F422" s="168">
        <v>8.4</v>
      </c>
      <c r="G422" s="168">
        <v>1</v>
      </c>
      <c r="H422" s="169"/>
      <c r="I422" s="169"/>
      <c r="J422" s="169"/>
      <c r="K422" s="106"/>
      <c r="L422" s="180">
        <v>1.4</v>
      </c>
      <c r="M422" s="180">
        <v>1.68</v>
      </c>
      <c r="N422" s="180">
        <v>2.23</v>
      </c>
      <c r="O422" s="181">
        <v>2.57</v>
      </c>
      <c r="P422" s="311">
        <v>22</v>
      </c>
      <c r="Q422" s="182">
        <f>(P422*$E422*$F422*$G422*$L422*$Q$12)</f>
        <v>7390569.648</v>
      </c>
      <c r="R422" s="182"/>
      <c r="S422" s="182">
        <f>(R422*$E422*$F422*$G422*$L422*$S$12)</f>
        <v>0</v>
      </c>
      <c r="T422" s="182"/>
      <c r="U422" s="182">
        <f t="shared" si="1884"/>
        <v>0</v>
      </c>
      <c r="V422" s="182"/>
      <c r="W422" s="183">
        <f t="shared" si="1885"/>
        <v>0</v>
      </c>
      <c r="X422" s="183"/>
      <c r="Y422" s="183">
        <v>0</v>
      </c>
      <c r="Z422" s="183"/>
      <c r="AA422" s="183">
        <v>0</v>
      </c>
      <c r="AB422" s="182">
        <f t="shared" si="1867"/>
        <v>0</v>
      </c>
      <c r="AC422" s="182">
        <f t="shared" si="1867"/>
        <v>0</v>
      </c>
      <c r="AD422" s="182"/>
      <c r="AE422" s="182">
        <f>(AD422*$E422*$F422*$G422*$L422*$AE$12)</f>
        <v>0</v>
      </c>
      <c r="AF422" s="182"/>
      <c r="AG422" s="182"/>
      <c r="AH422" s="182"/>
      <c r="AI422" s="182">
        <f>(AH422*$E422*$F422*$G422*$L422*$AI$12)</f>
        <v>0</v>
      </c>
      <c r="AJ422" s="182"/>
      <c r="AK422" s="182"/>
      <c r="AL422" s="182"/>
      <c r="AM422" s="182"/>
      <c r="AN422" s="184"/>
      <c r="AO422" s="182">
        <f>(AN422*$E422*$F422*$G422*$L422*$AO$12)</f>
        <v>0</v>
      </c>
      <c r="AP422" s="182"/>
      <c r="AQ422" s="183">
        <f>(AP422*$E422*$F422*$G422*$L422*$AQ$12)</f>
        <v>0</v>
      </c>
      <c r="AR422" s="182"/>
      <c r="AS422" s="182">
        <f t="shared" ref="AS422" si="1888">(AR422*$E422*$F422*$G422*$L422*$AS$12)/12*10+(AR422*$E422*$F422*$G422*$L422*$AS$13)/12*1+(AR422*$E422*$F422*$G422*$L422*$AS$14)/12*1</f>
        <v>0</v>
      </c>
      <c r="AT422" s="182"/>
      <c r="AU422" s="182">
        <f>(AT422*$E422*$F422*$G422*$M422*$AU$12)</f>
        <v>0</v>
      </c>
      <c r="AV422" s="188"/>
      <c r="AW422" s="182">
        <f>(AV422*$E422*$F422*$G422*$M422*$AW$12)</f>
        <v>0</v>
      </c>
      <c r="AX422" s="182"/>
      <c r="AY422" s="187">
        <f>(AX422*$E422*$F422*$G422*$M422*$AY$12)</f>
        <v>0</v>
      </c>
      <c r="AZ422" s="182"/>
      <c r="BA422" s="182">
        <f>(AZ422*$E422*$F422*$G422*$L422*$BA$12)</f>
        <v>0</v>
      </c>
      <c r="BB422" s="182"/>
      <c r="BC422" s="182">
        <f>(BB422*$E422*$F422*$G422*$L422*$BC$12)</f>
        <v>0</v>
      </c>
      <c r="BD422" s="182"/>
      <c r="BE422" s="182">
        <f>(BD422*$E422*$F422*$G422*$L422*$BE$12)</f>
        <v>0</v>
      </c>
      <c r="BF422" s="182"/>
      <c r="BG422" s="182">
        <f>(BF422*$E422*$F422*$G422*$L422*$BG$12)</f>
        <v>0</v>
      </c>
      <c r="BH422" s="182"/>
      <c r="BI422" s="183">
        <f>(BH422*$E422*$F422*$G422*$L422*$BI$12)</f>
        <v>0</v>
      </c>
      <c r="BJ422" s="182"/>
      <c r="BK422" s="183">
        <f>(BJ422*$E422*$F422*$G422*$L422*$BK$12)</f>
        <v>0</v>
      </c>
      <c r="BL422" s="182"/>
      <c r="BM422" s="182">
        <f>(BL422*$E422*$F422*$G422*$L422*$BM$12)</f>
        <v>0</v>
      </c>
      <c r="BN422" s="182"/>
      <c r="BO422" s="182">
        <f>(BN422*$E422*$F422*$G422*$M422*$BO$12)</f>
        <v>0</v>
      </c>
      <c r="BP422" s="182">
        <v>8</v>
      </c>
      <c r="BQ422" s="182">
        <f t="shared" ref="BQ422" si="1889">(BP422/12*11*$E422*$F422*$G422*$M422*$BQ$12)+(BP422/12*$E422*$F422*$G422*$M422*$BQ$14*$BQ$15)</f>
        <v>3153056.4418617599</v>
      </c>
      <c r="BR422" s="182"/>
      <c r="BS422" s="183">
        <f>(BR422*$E422*$F422*$G422*$M422*$BS$12)</f>
        <v>0</v>
      </c>
      <c r="BT422" s="182"/>
      <c r="BU422" s="182">
        <f>(BT422*$E422*$F422*$G422*$M422*$BU$12)</f>
        <v>0</v>
      </c>
      <c r="BV422" s="182"/>
      <c r="BW422" s="182">
        <f>(BV422*$E422*$F422*$G422*$M422*$BW$12)</f>
        <v>0</v>
      </c>
      <c r="BX422" s="182"/>
      <c r="BY422" s="183">
        <f>(BX422*$E422*$F422*$G422*$M422*$BY$12)</f>
        <v>0</v>
      </c>
      <c r="BZ422" s="182"/>
      <c r="CA422" s="187">
        <f t="shared" si="1887"/>
        <v>0</v>
      </c>
      <c r="CB422" s="182"/>
      <c r="CC422" s="182">
        <f>(CB422*$E422*$F422*$G422*$L422*$CC$12)</f>
        <v>0</v>
      </c>
      <c r="CD422" s="182"/>
      <c r="CE422" s="182">
        <f>(CD422*$E422*$F422*$G422*$L422*$CE$12)</f>
        <v>0</v>
      </c>
      <c r="CF422" s="182"/>
      <c r="CG422" s="182">
        <f>(CF422*$E422*$F422*$G422*$L422*$CG$12)</f>
        <v>0</v>
      </c>
      <c r="CH422" s="182"/>
      <c r="CI422" s="182">
        <f>(CH422*$E422*$F422*$G422*$M422*$CI$12)</f>
        <v>0</v>
      </c>
      <c r="CJ422" s="182"/>
      <c r="CK422" s="182"/>
      <c r="CL422" s="182"/>
      <c r="CM422" s="183">
        <f>(CL422*$E422*$F422*$G422*$L422*$CM$12)</f>
        <v>0</v>
      </c>
      <c r="CN422" s="182"/>
      <c r="CO422" s="183">
        <f>(CN422*$E422*$F422*$G422*$L422*$CO$12)</f>
        <v>0</v>
      </c>
      <c r="CP422" s="182"/>
      <c r="CQ422" s="182">
        <f>(CP422*$E422*$F422*$G422*$L422*$CQ$12)</f>
        <v>0</v>
      </c>
      <c r="CR422" s="182"/>
      <c r="CS422" s="182">
        <f>(CR422*$E422*$F422*$G422*$L422*$CS$12)</f>
        <v>0</v>
      </c>
      <c r="CT422" s="182"/>
      <c r="CU422" s="182">
        <f>(CT422*$E422*$F422*$G422*$L422*$CU$12)</f>
        <v>0</v>
      </c>
      <c r="CV422" s="182"/>
      <c r="CW422" s="182">
        <v>0</v>
      </c>
      <c r="CX422" s="182"/>
      <c r="CY422" s="182">
        <f>(CX422*$E422*$F422*$G422*$M422*$CY$12)</f>
        <v>0</v>
      </c>
      <c r="CZ422" s="182"/>
      <c r="DA422" s="182">
        <v>0</v>
      </c>
      <c r="DB422" s="188"/>
      <c r="DC422" s="182">
        <f>(DB422*$E422*$F422*$G422*$M422*$DC$12)</f>
        <v>0</v>
      </c>
      <c r="DD422" s="182"/>
      <c r="DE422" s="187"/>
      <c r="DF422" s="182"/>
      <c r="DG422" s="182">
        <f>(DF422*$E422*$F422*$G422*$M422*$DG$12)</f>
        <v>0</v>
      </c>
      <c r="DH422" s="189"/>
      <c r="DI422" s="182">
        <f>(DH422*$E422*$F422*$G422*$M422*$DI$12)</f>
        <v>0</v>
      </c>
      <c r="DJ422" s="182"/>
      <c r="DK422" s="182">
        <f>(DJ422*$E422*$F422*$G422*$M422*$DK$12)</f>
        <v>0</v>
      </c>
      <c r="DL422" s="182"/>
      <c r="DM422" s="182">
        <f>(DL422*$E422*$F422*$G422*$N422*$DM$12)</f>
        <v>0</v>
      </c>
      <c r="DN422" s="182"/>
      <c r="DO422" s="190">
        <f>(DN422*$E422*$F422*$G422*$O422*$DO$12)</f>
        <v>0</v>
      </c>
      <c r="DP422" s="182"/>
      <c r="DQ422" s="187"/>
      <c r="DR422" s="183">
        <f t="shared" si="1865"/>
        <v>30</v>
      </c>
      <c r="DS422" s="183">
        <f t="shared" si="1865"/>
        <v>10543626.08986176</v>
      </c>
      <c r="DT422" s="182">
        <v>30</v>
      </c>
      <c r="DU422" s="182">
        <v>10322365.872</v>
      </c>
      <c r="DV422" s="167">
        <f t="shared" si="1800"/>
        <v>0</v>
      </c>
      <c r="DW422" s="167">
        <f t="shared" si="1800"/>
        <v>221260.21786176041</v>
      </c>
    </row>
    <row r="423" spans="1:127" ht="30" customHeight="1" x14ac:dyDescent="0.25">
      <c r="A423" s="154"/>
      <c r="B423" s="176">
        <v>372</v>
      </c>
      <c r="C423" s="177" t="s">
        <v>914</v>
      </c>
      <c r="D423" s="210" t="s">
        <v>915</v>
      </c>
      <c r="E423" s="158">
        <v>25969</v>
      </c>
      <c r="F423" s="179">
        <v>2.3199999999999998</v>
      </c>
      <c r="G423" s="168">
        <v>1</v>
      </c>
      <c r="H423" s="169"/>
      <c r="I423" s="169"/>
      <c r="J423" s="169"/>
      <c r="K423" s="106"/>
      <c r="L423" s="180">
        <v>1.4</v>
      </c>
      <c r="M423" s="180">
        <v>1.68</v>
      </c>
      <c r="N423" s="180">
        <v>2.23</v>
      </c>
      <c r="O423" s="181">
        <v>2.57</v>
      </c>
      <c r="P423" s="311">
        <v>1</v>
      </c>
      <c r="Q423" s="182">
        <f>(P423*$E423*$F423*$G423*$L423)</f>
        <v>84347.311999999991</v>
      </c>
      <c r="R423" s="182"/>
      <c r="S423" s="187">
        <f>(R423*$E423*$F423*$G423*$L423)</f>
        <v>0</v>
      </c>
      <c r="T423" s="182"/>
      <c r="U423" s="182">
        <f>(T423*$E423*$F423*$G423*$L423)</f>
        <v>0</v>
      </c>
      <c r="V423" s="182"/>
      <c r="W423" s="182">
        <f>(V423*$E423*$F423*$G423*$L423)</f>
        <v>0</v>
      </c>
      <c r="X423" s="182"/>
      <c r="Y423" s="182">
        <v>0</v>
      </c>
      <c r="Z423" s="182"/>
      <c r="AA423" s="182">
        <v>0</v>
      </c>
      <c r="AB423" s="182">
        <f>X423+Z423</f>
        <v>0</v>
      </c>
      <c r="AC423" s="182">
        <f>Y423+AA423</f>
        <v>0</v>
      </c>
      <c r="AD423" s="182"/>
      <c r="AE423" s="182">
        <f>(AD423*$E423*$F423*$G423*$L423)</f>
        <v>0</v>
      </c>
      <c r="AF423" s="182"/>
      <c r="AG423" s="182"/>
      <c r="AH423" s="182"/>
      <c r="AI423" s="182">
        <f>(AH423*$E423*$F423*$G423*$L423)</f>
        <v>0</v>
      </c>
      <c r="AJ423" s="182"/>
      <c r="AK423" s="182"/>
      <c r="AL423" s="182"/>
      <c r="AM423" s="182"/>
      <c r="AN423" s="184"/>
      <c r="AO423" s="182">
        <f>(AN423*$E423*$F423*$G423*$L423)</f>
        <v>0</v>
      </c>
      <c r="AP423" s="182"/>
      <c r="AQ423" s="182">
        <f>(AP423*$E423*$F423*$G423*$L423)</f>
        <v>0</v>
      </c>
      <c r="AR423" s="182"/>
      <c r="AS423" s="182">
        <f>(AR423*$E423*$F423*$G423*$L423)</f>
        <v>0</v>
      </c>
      <c r="AT423" s="182"/>
      <c r="AU423" s="183">
        <f>(AT423*$E423*$F423*$G423*$M423)</f>
        <v>0</v>
      </c>
      <c r="AV423" s="188"/>
      <c r="AW423" s="182">
        <f>(AV423*$E423*$F423*$G423*$M423)</f>
        <v>0</v>
      </c>
      <c r="AX423" s="182"/>
      <c r="AY423" s="187">
        <f>(AX423*$E423*$F423*$G423*$M423)</f>
        <v>0</v>
      </c>
      <c r="AZ423" s="182"/>
      <c r="BA423" s="182">
        <f>(AZ423*$E423*$F423*$G423*$L423*$AO$12)</f>
        <v>0</v>
      </c>
      <c r="BB423" s="182"/>
      <c r="BC423" s="182">
        <f>(BB423*$E423*$F423*$G423*$L423*BC$12)</f>
        <v>0</v>
      </c>
      <c r="BD423" s="182"/>
      <c r="BE423" s="182">
        <f>(BD423*$E423*$F423*$G423*$L423*BE$12)</f>
        <v>0</v>
      </c>
      <c r="BF423" s="182"/>
      <c r="BG423" s="182">
        <f>(BF423*$E423*$F423*$G423*$L423)</f>
        <v>0</v>
      </c>
      <c r="BH423" s="182"/>
      <c r="BI423" s="182">
        <f t="shared" ref="BI423" si="1890">(BH423*$E423*$F423*$G423*$L423)</f>
        <v>0</v>
      </c>
      <c r="BJ423" s="182"/>
      <c r="BK423" s="182"/>
      <c r="BL423" s="182"/>
      <c r="BM423" s="182">
        <f>(BL423*$E423*$F423*$G423*$L423)</f>
        <v>0</v>
      </c>
      <c r="BN423" s="182"/>
      <c r="BO423" s="182">
        <f>(BN423*$E423*$F423*$G423*$M423)</f>
        <v>0</v>
      </c>
      <c r="BP423" s="182"/>
      <c r="BQ423" s="182">
        <f>(BP423*$E423*$F423*$G423*$M423)</f>
        <v>0</v>
      </c>
      <c r="BR423" s="182"/>
      <c r="BS423" s="182">
        <f>(BR423*$E423*$F423*$G423*$M423)</f>
        <v>0</v>
      </c>
      <c r="BT423" s="182"/>
      <c r="BU423" s="182">
        <f>(BT423*$E423*$F423*$G423*$M423)</f>
        <v>0</v>
      </c>
      <c r="BV423" s="182"/>
      <c r="BW423" s="182">
        <f>(BV423*$E423*$F423*$G423*$M423)</f>
        <v>0</v>
      </c>
      <c r="BX423" s="182"/>
      <c r="BY423" s="182">
        <f>(BX423*$E423*$F423*$G423*$M423)</f>
        <v>0</v>
      </c>
      <c r="BZ423" s="182"/>
      <c r="CA423" s="187">
        <f>(BZ423*$E423*$F423*$G423*$M423)</f>
        <v>0</v>
      </c>
      <c r="CB423" s="182"/>
      <c r="CC423" s="182">
        <f>(CB423*$E423*$F423*$G423*$L423)</f>
        <v>0</v>
      </c>
      <c r="CD423" s="182"/>
      <c r="CE423" s="183">
        <f>(CD423*$E423*$F423*$G423*$L423)</f>
        <v>0</v>
      </c>
      <c r="CF423" s="182"/>
      <c r="CG423" s="182">
        <f>(CF423*$E423*$F423*$G423*$L423)</f>
        <v>0</v>
      </c>
      <c r="CH423" s="182"/>
      <c r="CI423" s="182">
        <f>(CH423*$E423*$F423*$G423*$M423)</f>
        <v>0</v>
      </c>
      <c r="CJ423" s="182"/>
      <c r="CK423" s="182"/>
      <c r="CL423" s="182"/>
      <c r="CM423" s="182">
        <f>(CL423*$E423*$F423*$G423*$L423)</f>
        <v>0</v>
      </c>
      <c r="CN423" s="182"/>
      <c r="CO423" s="182">
        <f>(CN423*$E423*$F423*$G423*$L423)</f>
        <v>0</v>
      </c>
      <c r="CP423" s="182"/>
      <c r="CQ423" s="182">
        <f>(CP423*$E423*$F423*$G423*$L423)</f>
        <v>0</v>
      </c>
      <c r="CR423" s="182"/>
      <c r="CS423" s="182">
        <f>(CR423*$E423*$F423*$G423*$L423)</f>
        <v>0</v>
      </c>
      <c r="CT423" s="182"/>
      <c r="CU423" s="182">
        <f>(CT423*$E423*$F423*$G423*$L423)</f>
        <v>0</v>
      </c>
      <c r="CV423" s="182"/>
      <c r="CW423" s="182">
        <v>0</v>
      </c>
      <c r="CX423" s="182"/>
      <c r="CY423" s="182">
        <f>(CX423*$E423*$F423*$G423*$M423)</f>
        <v>0</v>
      </c>
      <c r="CZ423" s="182"/>
      <c r="DA423" s="182">
        <v>0</v>
      </c>
      <c r="DB423" s="188"/>
      <c r="DC423" s="182">
        <f>(DB423*$E423*$F423*$G423*$M423)</f>
        <v>0</v>
      </c>
      <c r="DD423" s="182"/>
      <c r="DE423" s="187">
        <f>(DD423*$E423*$F423*$G423*$M423)</f>
        <v>0</v>
      </c>
      <c r="DF423" s="182"/>
      <c r="DG423" s="182"/>
      <c r="DH423" s="189"/>
      <c r="DI423" s="182">
        <f>(DH423*$E423*$F423*$G423*$M423)</f>
        <v>0</v>
      </c>
      <c r="DJ423" s="182"/>
      <c r="DK423" s="182">
        <f>(DJ423*$E423*$F423*$G423*$M423)</f>
        <v>0</v>
      </c>
      <c r="DL423" s="182"/>
      <c r="DM423" s="182">
        <f>(DL423*$E423*$F423*$G423*$N423)</f>
        <v>0</v>
      </c>
      <c r="DN423" s="154"/>
      <c r="DO423" s="187">
        <f>(DN423*$E423*$F423*$G423*$O423)</f>
        <v>0</v>
      </c>
      <c r="DP423" s="187"/>
      <c r="DQ423" s="187"/>
      <c r="DR423" s="183">
        <f t="shared" si="1865"/>
        <v>1</v>
      </c>
      <c r="DS423" s="183">
        <f t="shared" si="1865"/>
        <v>84347.311999999991</v>
      </c>
      <c r="DT423" s="182">
        <v>1</v>
      </c>
      <c r="DU423" s="182">
        <v>84347.311999999991</v>
      </c>
      <c r="DV423" s="167">
        <f t="shared" si="1800"/>
        <v>0</v>
      </c>
      <c r="DW423" s="167">
        <f t="shared" si="1800"/>
        <v>0</v>
      </c>
    </row>
    <row r="424" spans="1:127" ht="66.75" customHeight="1" x14ac:dyDescent="0.25">
      <c r="A424" s="154"/>
      <c r="B424" s="176">
        <v>373</v>
      </c>
      <c r="C424" s="177" t="s">
        <v>916</v>
      </c>
      <c r="D424" s="210" t="s">
        <v>917</v>
      </c>
      <c r="E424" s="158">
        <v>25969</v>
      </c>
      <c r="F424" s="201">
        <v>18.149999999999999</v>
      </c>
      <c r="G424" s="168">
        <v>1</v>
      </c>
      <c r="H424" s="169"/>
      <c r="I424" s="169"/>
      <c r="J424" s="169"/>
      <c r="K424" s="106"/>
      <c r="L424" s="180">
        <v>1.4</v>
      </c>
      <c r="M424" s="180">
        <v>1.68</v>
      </c>
      <c r="N424" s="180">
        <v>2.23</v>
      </c>
      <c r="O424" s="181">
        <v>2.57</v>
      </c>
      <c r="P424" s="311">
        <v>3</v>
      </c>
      <c r="Q424" s="182">
        <f>(P424*$E424*$F424*$G424*$L424*$Q$12)</f>
        <v>2177578.5569999996</v>
      </c>
      <c r="R424" s="182">
        <v>50</v>
      </c>
      <c r="S424" s="182">
        <f>(R424*$E424*$F424*$G424*$L424*$S$12)</f>
        <v>36292975.949999996</v>
      </c>
      <c r="T424" s="182">
        <v>10</v>
      </c>
      <c r="U424" s="182">
        <f t="shared" ref="U424" si="1891">(T424/12*11*$E424*$F424*$G424*$L424*$U$12)+(T424/12*1*$E424*$F424*$G424*$L424*$U$14)</f>
        <v>8330887.661249999</v>
      </c>
      <c r="V424" s="182"/>
      <c r="W424" s="183">
        <f>(V424*$E424*$F424*$G424*$L424*$W$12)/12*10+(V424*$E424*$F424*$G424*$L424*$W$13)/12*1++(V424*$E424*$F424*$G424*$L424*$W$14)/12*1</f>
        <v>0</v>
      </c>
      <c r="X424" s="183"/>
      <c r="Y424" s="183">
        <v>0</v>
      </c>
      <c r="Z424" s="183"/>
      <c r="AA424" s="183">
        <v>0</v>
      </c>
      <c r="AB424" s="182">
        <f>X424+Z424</f>
        <v>0</v>
      </c>
      <c r="AC424" s="182">
        <f>Y424+AA424</f>
        <v>0</v>
      </c>
      <c r="AD424" s="182"/>
      <c r="AE424" s="182">
        <f>(AD424*$E424*$F424*$G424*$L424*$AE$12)</f>
        <v>0</v>
      </c>
      <c r="AF424" s="182"/>
      <c r="AG424" s="182"/>
      <c r="AH424" s="182">
        <v>2</v>
      </c>
      <c r="AI424" s="182">
        <f>(AH424*$E424*$F424*$G424*$L424*$AI$12)</f>
        <v>1451719.0379999999</v>
      </c>
      <c r="AJ424" s="182"/>
      <c r="AK424" s="182"/>
      <c r="AL424" s="182"/>
      <c r="AM424" s="182"/>
      <c r="AN424" s="184"/>
      <c r="AO424" s="182">
        <f>(AN424*$E424*$F424*$G424*$L424*$AO$12)</f>
        <v>0</v>
      </c>
      <c r="AP424" s="182"/>
      <c r="AQ424" s="183">
        <f>(AP424*$E424*$F424*$G424*$L424*$AQ$12)</f>
        <v>0</v>
      </c>
      <c r="AR424" s="182"/>
      <c r="AS424" s="182">
        <f>(AR424*$E424*$F424*$G424*$L424*$AS$12)/12*10+(AR424*$E424*$F424*$G424*$L424*$AS$13)/12*1+(AR424*$E424*$F424*$G424*$L424*$AS$14)/12*1</f>
        <v>0</v>
      </c>
      <c r="AT424" s="182">
        <v>1</v>
      </c>
      <c r="AU424" s="182">
        <f>(AT424*$E424*$F424*$G424*$M424*$AU$12)/12*10+(AT424*$E424*$F424*$G424*$M424*$AU$13)/12+(AT424*$E424*$F424*$G424*$M424*$AU$14*$AU$15)/12</f>
        <v>912523.79647182592</v>
      </c>
      <c r="AV424" s="188"/>
      <c r="AW424" s="182">
        <f>(AV424*$E424*$F424*$G424*$M424*$AW$12)</f>
        <v>0</v>
      </c>
      <c r="AX424" s="182"/>
      <c r="AY424" s="187">
        <f>(AX424*$E424*$F424*$G424*$M424*$AY$12)</f>
        <v>0</v>
      </c>
      <c r="AZ424" s="182"/>
      <c r="BA424" s="182">
        <f>(AZ424*$E424*$F424*$G424*$L424*$BA$12)</f>
        <v>0</v>
      </c>
      <c r="BB424" s="182"/>
      <c r="BC424" s="182">
        <f>(BB424*$E424*$F424*$G424*$L424*$BC$12)</f>
        <v>0</v>
      </c>
      <c r="BD424" s="182"/>
      <c r="BE424" s="182">
        <f>(BD424*$E424*$F424*$G424*$L424*$BE$12)</f>
        <v>0</v>
      </c>
      <c r="BF424" s="182"/>
      <c r="BG424" s="182">
        <f>(BF424*$E424*$F424*$G424*$L424*$BG$12)</f>
        <v>0</v>
      </c>
      <c r="BH424" s="182"/>
      <c r="BI424" s="183">
        <f>(BH424*$E424*$F424*$G424*$L424*$BI$12)</f>
        <v>0</v>
      </c>
      <c r="BJ424" s="182"/>
      <c r="BK424" s="183">
        <f>(BJ424*$E424*$F424*$G424*$L424*$BK$12)</f>
        <v>0</v>
      </c>
      <c r="BL424" s="182"/>
      <c r="BM424" s="182">
        <f>(BL424*$E424*$F424*$G424*$L424*$BM$12)</f>
        <v>0</v>
      </c>
      <c r="BN424" s="182"/>
      <c r="BO424" s="182">
        <f>(BN424*$E424*$F424*$G424*$M424*$BO$12)</f>
        <v>0</v>
      </c>
      <c r="BP424" s="182"/>
      <c r="BQ424" s="182">
        <f>(BP424*$E424*$F424*$G424*$M424*$BQ$12)</f>
        <v>0</v>
      </c>
      <c r="BR424" s="182"/>
      <c r="BS424" s="183">
        <f>(BR424*$E424*$F424*$G424*$M424*$BS$12)</f>
        <v>0</v>
      </c>
      <c r="BT424" s="182"/>
      <c r="BU424" s="182">
        <f>(BT424*$E424*$F424*$G424*$M424*$BU$12)</f>
        <v>0</v>
      </c>
      <c r="BV424" s="182"/>
      <c r="BW424" s="182">
        <f>(BV424*$E424*$F424*$G424*$M424*$BW$12)</f>
        <v>0</v>
      </c>
      <c r="BX424" s="182"/>
      <c r="BY424" s="183">
        <f>(BX424*$E424*$F424*$G424*$M424*$BY$12)</f>
        <v>0</v>
      </c>
      <c r="BZ424" s="182"/>
      <c r="CA424" s="187">
        <f>(BZ424*$E424*$F424*$G424*$M424*$CA$12)</f>
        <v>0</v>
      </c>
      <c r="CB424" s="182"/>
      <c r="CC424" s="182">
        <f>(CB424*$E424*$F424*$G424*$L424*$CC$12)</f>
        <v>0</v>
      </c>
      <c r="CD424" s="182"/>
      <c r="CE424" s="182">
        <f>(CD424*$E424*$F424*$G424*$L424*$CE$12)</f>
        <v>0</v>
      </c>
      <c r="CF424" s="182"/>
      <c r="CG424" s="182">
        <f>(CF424*$E424*$F424*$G424*$L424*$CG$12)</f>
        <v>0</v>
      </c>
      <c r="CH424" s="182"/>
      <c r="CI424" s="182">
        <f>(CH424*$E424*$F424*$G424*$M424*$CI$12)</f>
        <v>0</v>
      </c>
      <c r="CJ424" s="182"/>
      <c r="CK424" s="182"/>
      <c r="CL424" s="182"/>
      <c r="CM424" s="183">
        <f>(CL424*$E424*$F424*$G424*$L424*$CM$12)</f>
        <v>0</v>
      </c>
      <c r="CN424" s="182"/>
      <c r="CO424" s="183">
        <f>(CN424*$E424*$F424*$G424*$L424*$CO$12)</f>
        <v>0</v>
      </c>
      <c r="CP424" s="182"/>
      <c r="CQ424" s="182">
        <f>(CP424*$E424*$F424*$G424*$L424*$CQ$12)</f>
        <v>0</v>
      </c>
      <c r="CR424" s="182"/>
      <c r="CS424" s="182">
        <f>(CR424*$E424*$F424*$G424*$L424*$CS$12)</f>
        <v>0</v>
      </c>
      <c r="CT424" s="182"/>
      <c r="CU424" s="182">
        <f>(CT424*$E424*$F424*$G424*$L424*$CU$12)</f>
        <v>0</v>
      </c>
      <c r="CV424" s="182"/>
      <c r="CW424" s="182">
        <v>0</v>
      </c>
      <c r="CX424" s="182"/>
      <c r="CY424" s="182">
        <f>(CX424*$E424*$F424*$G424*$M424*$CY$12)</f>
        <v>0</v>
      </c>
      <c r="CZ424" s="182"/>
      <c r="DA424" s="182">
        <v>0</v>
      </c>
      <c r="DB424" s="188"/>
      <c r="DC424" s="182">
        <f>(DB424*$E424*$F424*$G424*$M424*$DC$12)</f>
        <v>0</v>
      </c>
      <c r="DD424" s="182"/>
      <c r="DE424" s="187"/>
      <c r="DF424" s="182"/>
      <c r="DG424" s="182">
        <f>(DF424*$E424*$F424*$G424*$M424*$DG$12)</f>
        <v>0</v>
      </c>
      <c r="DH424" s="189"/>
      <c r="DI424" s="182">
        <f>(DH424*$E424*$F424*$G424*$M424*$DI$12)</f>
        <v>0</v>
      </c>
      <c r="DJ424" s="182"/>
      <c r="DK424" s="182">
        <f>(DJ424*$E424*$F424*$G424*$M424*$DK$12)</f>
        <v>0</v>
      </c>
      <c r="DL424" s="182"/>
      <c r="DM424" s="182">
        <f>(DL424*$E424*$F424*$G424*$N424*$DM$12)</f>
        <v>0</v>
      </c>
      <c r="DN424" s="154"/>
      <c r="DO424" s="190">
        <f>(DN424*$E424*$F424*$G424*$O424*$DO$12)</f>
        <v>0</v>
      </c>
      <c r="DP424" s="187"/>
      <c r="DQ424" s="187"/>
      <c r="DR424" s="183">
        <f t="shared" si="1865"/>
        <v>66</v>
      </c>
      <c r="DS424" s="183">
        <f t="shared" si="1865"/>
        <v>49165685.002721824</v>
      </c>
      <c r="DT424" s="182">
        <v>71</v>
      </c>
      <c r="DU424" s="182">
        <v>52690802.3565</v>
      </c>
      <c r="DV424" s="167">
        <f t="shared" si="1800"/>
        <v>-5</v>
      </c>
      <c r="DW424" s="167">
        <f t="shared" si="1800"/>
        <v>-3525117.353778176</v>
      </c>
    </row>
    <row r="425" spans="1:127" ht="15.75" customHeight="1" x14ac:dyDescent="0.25">
      <c r="A425" s="154"/>
      <c r="B425" s="176">
        <v>374</v>
      </c>
      <c r="C425" s="177" t="s">
        <v>918</v>
      </c>
      <c r="D425" s="210" t="s">
        <v>919</v>
      </c>
      <c r="E425" s="158">
        <v>25969</v>
      </c>
      <c r="F425" s="201">
        <v>2.0499999999999998</v>
      </c>
      <c r="G425" s="168">
        <v>1</v>
      </c>
      <c r="H425" s="169"/>
      <c r="I425" s="169"/>
      <c r="J425" s="169"/>
      <c r="K425" s="106"/>
      <c r="L425" s="180">
        <v>1.4</v>
      </c>
      <c r="M425" s="180">
        <v>1.68</v>
      </c>
      <c r="N425" s="180">
        <v>2.23</v>
      </c>
      <c r="O425" s="181">
        <v>2.57</v>
      </c>
      <c r="P425" s="311">
        <v>0</v>
      </c>
      <c r="Q425" s="182">
        <f t="shared" ref="Q425:Q426" si="1892">(P425*$E425*$F425*$G425*$L425)</f>
        <v>0</v>
      </c>
      <c r="R425" s="182"/>
      <c r="S425" s="187">
        <f t="shared" ref="S425:S426" si="1893">(R425*$E425*$F425*$G425*$L425)</f>
        <v>0</v>
      </c>
      <c r="T425" s="182"/>
      <c r="U425" s="182">
        <f t="shared" ref="U425:U426" si="1894">(T425*$E425*$F425*$G425*$L425)</f>
        <v>0</v>
      </c>
      <c r="V425" s="182"/>
      <c r="W425" s="182">
        <f t="shared" ref="W425:W426" si="1895">(V425*$E425*$F425*$G425*$L425)</f>
        <v>0</v>
      </c>
      <c r="X425" s="182"/>
      <c r="Y425" s="182">
        <v>0</v>
      </c>
      <c r="Z425" s="182"/>
      <c r="AA425" s="182">
        <v>0</v>
      </c>
      <c r="AB425" s="182">
        <f t="shared" ref="AB425:AC431" si="1896">X425+Z425</f>
        <v>0</v>
      </c>
      <c r="AC425" s="182">
        <f t="shared" si="1896"/>
        <v>0</v>
      </c>
      <c r="AD425" s="182"/>
      <c r="AE425" s="182">
        <f t="shared" ref="AE425:AE426" si="1897">(AD425*$E425*$F425*$G425*$L425)</f>
        <v>0</v>
      </c>
      <c r="AF425" s="182"/>
      <c r="AG425" s="182"/>
      <c r="AH425" s="182"/>
      <c r="AI425" s="182">
        <f t="shared" ref="AI425:AI426" si="1898">(AH425*$E425*$F425*$G425*$L425)</f>
        <v>0</v>
      </c>
      <c r="AJ425" s="182"/>
      <c r="AK425" s="182"/>
      <c r="AL425" s="182"/>
      <c r="AM425" s="182"/>
      <c r="AN425" s="184"/>
      <c r="AO425" s="182">
        <f t="shared" ref="AO425:AO426" si="1899">(AN425*$E425*$F425*$G425*$L425)</f>
        <v>0</v>
      </c>
      <c r="AP425" s="182"/>
      <c r="AQ425" s="182">
        <f t="shared" ref="AQ425:AQ426" si="1900">(AP425*$E425*$F425*$G425*$L425)</f>
        <v>0</v>
      </c>
      <c r="AR425" s="182"/>
      <c r="AS425" s="182">
        <f t="shared" ref="AS425:AS426" si="1901">(AR425*$E425*$F425*$G425*$L425)</f>
        <v>0</v>
      </c>
      <c r="AT425" s="182"/>
      <c r="AU425" s="183">
        <f t="shared" ref="AU425:AU426" si="1902">(AT425*$E425*$F425*$G425*$M425)</f>
        <v>0</v>
      </c>
      <c r="AV425" s="188"/>
      <c r="AW425" s="182">
        <f t="shared" ref="AW425:AW426" si="1903">(AV425*$E425*$F425*$G425*$M425)</f>
        <v>0</v>
      </c>
      <c r="AX425" s="182"/>
      <c r="AY425" s="187">
        <f t="shared" ref="AY425:AY426" si="1904">(AX425*$E425*$F425*$G425*$M425)</f>
        <v>0</v>
      </c>
      <c r="AZ425" s="182"/>
      <c r="BA425" s="182">
        <f>(AZ425*$E425*$F425*$G425*$L425*$AO$12)</f>
        <v>0</v>
      </c>
      <c r="BB425" s="182"/>
      <c r="BC425" s="182">
        <f t="shared" ref="BC425:BC426" si="1905">(BB425*$E425*$F425*$G425*$L425*BC$12)</f>
        <v>0</v>
      </c>
      <c r="BD425" s="182"/>
      <c r="BE425" s="182">
        <f>(BD425*$E425*$F425*$G425*$L425*BE$12)</f>
        <v>0</v>
      </c>
      <c r="BF425" s="182"/>
      <c r="BG425" s="182">
        <f t="shared" ref="BG425:BG426" si="1906">(BF425*$E425*$F425*$G425*$L425)</f>
        <v>0</v>
      </c>
      <c r="BH425" s="182"/>
      <c r="BI425" s="182">
        <f t="shared" ref="BI425:BI426" si="1907">(BH425*$E425*$F425*$G425*$L425)</f>
        <v>0</v>
      </c>
      <c r="BJ425" s="182"/>
      <c r="BK425" s="182"/>
      <c r="BL425" s="182"/>
      <c r="BM425" s="182">
        <f t="shared" ref="BM425:BM426" si="1908">(BL425*$E425*$F425*$G425*$L425)</f>
        <v>0</v>
      </c>
      <c r="BN425" s="182"/>
      <c r="BO425" s="182">
        <f t="shared" ref="BO425:BO426" si="1909">(BN425*$E425*$F425*$G425*$M425)</f>
        <v>0</v>
      </c>
      <c r="BP425" s="182"/>
      <c r="BQ425" s="182">
        <f t="shared" ref="BQ425:BQ426" si="1910">(BP425*$E425*$F425*$G425*$M425)</f>
        <v>0</v>
      </c>
      <c r="BR425" s="182"/>
      <c r="BS425" s="182">
        <f t="shared" ref="BS425:BS426" si="1911">(BR425*$E425*$F425*$G425*$M425)</f>
        <v>0</v>
      </c>
      <c r="BT425" s="182"/>
      <c r="BU425" s="182">
        <f t="shared" ref="BU425:BU426" si="1912">(BT425*$E425*$F425*$G425*$M425)</f>
        <v>0</v>
      </c>
      <c r="BV425" s="182"/>
      <c r="BW425" s="182">
        <f t="shared" ref="BW425:BW426" si="1913">(BV425*$E425*$F425*$G425*$M425)</f>
        <v>0</v>
      </c>
      <c r="BX425" s="182"/>
      <c r="BY425" s="182">
        <f t="shared" ref="BY425:BY426" si="1914">(BX425*$E425*$F425*$G425*$M425)</f>
        <v>0</v>
      </c>
      <c r="BZ425" s="182"/>
      <c r="CA425" s="187">
        <f t="shared" ref="CA425:CA426" si="1915">(BZ425*$E425*$F425*$G425*$M425)</f>
        <v>0</v>
      </c>
      <c r="CB425" s="182"/>
      <c r="CC425" s="182">
        <f t="shared" ref="CC425:CC426" si="1916">(CB425*$E425*$F425*$G425*$L425)</f>
        <v>0</v>
      </c>
      <c r="CD425" s="182"/>
      <c r="CE425" s="183">
        <f t="shared" ref="CE425:CE426" si="1917">(CD425*$E425*$F425*$G425*$L425)</f>
        <v>0</v>
      </c>
      <c r="CF425" s="182"/>
      <c r="CG425" s="182">
        <f t="shared" ref="CG425:CG426" si="1918">(CF425*$E425*$F425*$G425*$L425)</f>
        <v>0</v>
      </c>
      <c r="CH425" s="182"/>
      <c r="CI425" s="182">
        <f t="shared" ref="CI425:CI426" si="1919">(CH425*$E425*$F425*$G425*$M425)</f>
        <v>0</v>
      </c>
      <c r="CJ425" s="182"/>
      <c r="CK425" s="182"/>
      <c r="CL425" s="182"/>
      <c r="CM425" s="182">
        <f t="shared" ref="CM425:CM426" si="1920">(CL425*$E425*$F425*$G425*$L425)</f>
        <v>0</v>
      </c>
      <c r="CN425" s="182"/>
      <c r="CO425" s="182">
        <f t="shared" ref="CO425:CO426" si="1921">(CN425*$E425*$F425*$G425*$L425)</f>
        <v>0</v>
      </c>
      <c r="CP425" s="182"/>
      <c r="CQ425" s="182">
        <f t="shared" ref="CQ425:CQ426" si="1922">(CP425*$E425*$F425*$G425*$L425)</f>
        <v>0</v>
      </c>
      <c r="CR425" s="182"/>
      <c r="CS425" s="182">
        <f t="shared" ref="CS425:CS426" si="1923">(CR425*$E425*$F425*$G425*$L425)</f>
        <v>0</v>
      </c>
      <c r="CT425" s="182"/>
      <c r="CU425" s="182">
        <f t="shared" ref="CU425:CU426" si="1924">(CT425*$E425*$F425*$G425*$L425)</f>
        <v>0</v>
      </c>
      <c r="CV425" s="182"/>
      <c r="CW425" s="182">
        <v>0</v>
      </c>
      <c r="CX425" s="182"/>
      <c r="CY425" s="182">
        <f t="shared" ref="CY425:CY426" si="1925">(CX425*$E425*$F425*$G425*$M425)</f>
        <v>0</v>
      </c>
      <c r="CZ425" s="182"/>
      <c r="DA425" s="182">
        <v>0</v>
      </c>
      <c r="DB425" s="188"/>
      <c r="DC425" s="182">
        <f t="shared" ref="DC425:DC426" si="1926">(DB425*$E425*$F425*$G425*$M425)</f>
        <v>0</v>
      </c>
      <c r="DD425" s="182"/>
      <c r="DE425" s="187">
        <f t="shared" ref="DE425:DE426" si="1927">(DD425*$E425*$F425*$G425*$M425)</f>
        <v>0</v>
      </c>
      <c r="DF425" s="182"/>
      <c r="DG425" s="182"/>
      <c r="DH425" s="189"/>
      <c r="DI425" s="182">
        <f t="shared" ref="DI425:DI426" si="1928">(DH425*$E425*$F425*$G425*$M425)</f>
        <v>0</v>
      </c>
      <c r="DJ425" s="182"/>
      <c r="DK425" s="182">
        <f t="shared" ref="DK425:DK426" si="1929">(DJ425*$E425*$F425*$G425*$M425)</f>
        <v>0</v>
      </c>
      <c r="DL425" s="182"/>
      <c r="DM425" s="182">
        <f t="shared" ref="DM425:DM426" si="1930">(DL425*$E425*$F425*$G425*$N425)</f>
        <v>0</v>
      </c>
      <c r="DN425" s="154"/>
      <c r="DO425" s="187">
        <f t="shared" ref="DO425:DO426" si="1931">(DN425*$E425*$F425*$G425*$O425)</f>
        <v>0</v>
      </c>
      <c r="DP425" s="187"/>
      <c r="DQ425" s="187"/>
      <c r="DR425" s="183">
        <f t="shared" si="1865"/>
        <v>0</v>
      </c>
      <c r="DS425" s="183">
        <f t="shared" si="1865"/>
        <v>0</v>
      </c>
      <c r="DT425" s="182">
        <v>0</v>
      </c>
      <c r="DU425" s="182">
        <v>0</v>
      </c>
      <c r="DV425" s="167">
        <f t="shared" si="1800"/>
        <v>0</v>
      </c>
      <c r="DW425" s="167">
        <f t="shared" si="1800"/>
        <v>0</v>
      </c>
    </row>
    <row r="426" spans="1:127" ht="15.75" customHeight="1" x14ac:dyDescent="0.25">
      <c r="A426" s="154"/>
      <c r="B426" s="176">
        <v>375</v>
      </c>
      <c r="C426" s="177" t="s">
        <v>920</v>
      </c>
      <c r="D426" s="210" t="s">
        <v>921</v>
      </c>
      <c r="E426" s="158">
        <v>25969</v>
      </c>
      <c r="F426" s="201">
        <v>7.81</v>
      </c>
      <c r="G426" s="168">
        <v>1</v>
      </c>
      <c r="H426" s="169"/>
      <c r="I426" s="169"/>
      <c r="J426" s="169"/>
      <c r="K426" s="106"/>
      <c r="L426" s="180">
        <v>1.4</v>
      </c>
      <c r="M426" s="180">
        <v>1.68</v>
      </c>
      <c r="N426" s="180">
        <v>2.23</v>
      </c>
      <c r="O426" s="181">
        <v>2.57</v>
      </c>
      <c r="P426" s="311">
        <v>0</v>
      </c>
      <c r="Q426" s="182">
        <f t="shared" si="1892"/>
        <v>0</v>
      </c>
      <c r="R426" s="182"/>
      <c r="S426" s="187">
        <f t="shared" si="1893"/>
        <v>0</v>
      </c>
      <c r="T426" s="182"/>
      <c r="U426" s="182">
        <f t="shared" si="1894"/>
        <v>0</v>
      </c>
      <c r="V426" s="182"/>
      <c r="W426" s="182">
        <f t="shared" si="1895"/>
        <v>0</v>
      </c>
      <c r="X426" s="182"/>
      <c r="Y426" s="182">
        <v>0</v>
      </c>
      <c r="Z426" s="182"/>
      <c r="AA426" s="182">
        <v>0</v>
      </c>
      <c r="AB426" s="182">
        <f t="shared" si="1896"/>
        <v>0</v>
      </c>
      <c r="AC426" s="182">
        <f t="shared" si="1896"/>
        <v>0</v>
      </c>
      <c r="AD426" s="182"/>
      <c r="AE426" s="182">
        <f t="shared" si="1897"/>
        <v>0</v>
      </c>
      <c r="AF426" s="182"/>
      <c r="AG426" s="182"/>
      <c r="AH426" s="182"/>
      <c r="AI426" s="182">
        <f t="shared" si="1898"/>
        <v>0</v>
      </c>
      <c r="AJ426" s="182"/>
      <c r="AK426" s="182"/>
      <c r="AL426" s="182"/>
      <c r="AM426" s="182"/>
      <c r="AN426" s="184"/>
      <c r="AO426" s="182">
        <f t="shared" si="1899"/>
        <v>0</v>
      </c>
      <c r="AP426" s="182"/>
      <c r="AQ426" s="182">
        <f t="shared" si="1900"/>
        <v>0</v>
      </c>
      <c r="AR426" s="182"/>
      <c r="AS426" s="182">
        <f t="shared" si="1901"/>
        <v>0</v>
      </c>
      <c r="AT426" s="182"/>
      <c r="AU426" s="183">
        <f t="shared" si="1902"/>
        <v>0</v>
      </c>
      <c r="AV426" s="188"/>
      <c r="AW426" s="182">
        <f t="shared" si="1903"/>
        <v>0</v>
      </c>
      <c r="AX426" s="182"/>
      <c r="AY426" s="187">
        <f t="shared" si="1904"/>
        <v>0</v>
      </c>
      <c r="AZ426" s="182"/>
      <c r="BA426" s="182">
        <f>(AZ426*$E426*$F426*$G426*$L426*$AO$12)</f>
        <v>0</v>
      </c>
      <c r="BB426" s="182"/>
      <c r="BC426" s="182">
        <f t="shared" si="1905"/>
        <v>0</v>
      </c>
      <c r="BD426" s="182"/>
      <c r="BE426" s="182">
        <f>(BD426*$E426*$F426*$G426*$L426*BE$12)</f>
        <v>0</v>
      </c>
      <c r="BF426" s="182"/>
      <c r="BG426" s="182">
        <f t="shared" si="1906"/>
        <v>0</v>
      </c>
      <c r="BH426" s="182"/>
      <c r="BI426" s="182">
        <f t="shared" si="1907"/>
        <v>0</v>
      </c>
      <c r="BJ426" s="182"/>
      <c r="BK426" s="182"/>
      <c r="BL426" s="182"/>
      <c r="BM426" s="182">
        <f t="shared" si="1908"/>
        <v>0</v>
      </c>
      <c r="BN426" s="182"/>
      <c r="BO426" s="182">
        <f t="shared" si="1909"/>
        <v>0</v>
      </c>
      <c r="BP426" s="182"/>
      <c r="BQ426" s="182">
        <f t="shared" si="1910"/>
        <v>0</v>
      </c>
      <c r="BR426" s="182"/>
      <c r="BS426" s="182">
        <f t="shared" si="1911"/>
        <v>0</v>
      </c>
      <c r="BT426" s="182"/>
      <c r="BU426" s="182">
        <f t="shared" si="1912"/>
        <v>0</v>
      </c>
      <c r="BV426" s="182"/>
      <c r="BW426" s="182">
        <f t="shared" si="1913"/>
        <v>0</v>
      </c>
      <c r="BX426" s="182"/>
      <c r="BY426" s="182">
        <f t="shared" si="1914"/>
        <v>0</v>
      </c>
      <c r="BZ426" s="182"/>
      <c r="CA426" s="187">
        <f t="shared" si="1915"/>
        <v>0</v>
      </c>
      <c r="CB426" s="182"/>
      <c r="CC426" s="182">
        <f t="shared" si="1916"/>
        <v>0</v>
      </c>
      <c r="CD426" s="182"/>
      <c r="CE426" s="183">
        <f t="shared" si="1917"/>
        <v>0</v>
      </c>
      <c r="CF426" s="182"/>
      <c r="CG426" s="182">
        <f t="shared" si="1918"/>
        <v>0</v>
      </c>
      <c r="CH426" s="182"/>
      <c r="CI426" s="182">
        <f t="shared" si="1919"/>
        <v>0</v>
      </c>
      <c r="CJ426" s="182"/>
      <c r="CK426" s="182"/>
      <c r="CL426" s="182"/>
      <c r="CM426" s="182">
        <f t="shared" si="1920"/>
        <v>0</v>
      </c>
      <c r="CN426" s="182"/>
      <c r="CO426" s="182">
        <f t="shared" si="1921"/>
        <v>0</v>
      </c>
      <c r="CP426" s="182"/>
      <c r="CQ426" s="182">
        <f t="shared" si="1922"/>
        <v>0</v>
      </c>
      <c r="CR426" s="182"/>
      <c r="CS426" s="182">
        <f t="shared" si="1923"/>
        <v>0</v>
      </c>
      <c r="CT426" s="182"/>
      <c r="CU426" s="182">
        <f t="shared" si="1924"/>
        <v>0</v>
      </c>
      <c r="CV426" s="182"/>
      <c r="CW426" s="182">
        <v>0</v>
      </c>
      <c r="CX426" s="182"/>
      <c r="CY426" s="182">
        <f t="shared" si="1925"/>
        <v>0</v>
      </c>
      <c r="CZ426" s="182"/>
      <c r="DA426" s="182">
        <v>0</v>
      </c>
      <c r="DB426" s="188"/>
      <c r="DC426" s="182">
        <f t="shared" si="1926"/>
        <v>0</v>
      </c>
      <c r="DD426" s="182"/>
      <c r="DE426" s="187">
        <f t="shared" si="1927"/>
        <v>0</v>
      </c>
      <c r="DF426" s="182"/>
      <c r="DG426" s="182"/>
      <c r="DH426" s="189"/>
      <c r="DI426" s="182">
        <f t="shared" si="1928"/>
        <v>0</v>
      </c>
      <c r="DJ426" s="182"/>
      <c r="DK426" s="182">
        <f t="shared" si="1929"/>
        <v>0</v>
      </c>
      <c r="DL426" s="182"/>
      <c r="DM426" s="182">
        <f t="shared" si="1930"/>
        <v>0</v>
      </c>
      <c r="DN426" s="154"/>
      <c r="DO426" s="187">
        <f t="shared" si="1931"/>
        <v>0</v>
      </c>
      <c r="DP426" s="187"/>
      <c r="DQ426" s="187"/>
      <c r="DR426" s="183">
        <f t="shared" si="1865"/>
        <v>0</v>
      </c>
      <c r="DS426" s="183">
        <f t="shared" si="1865"/>
        <v>0</v>
      </c>
      <c r="DT426" s="182">
        <v>0</v>
      </c>
      <c r="DU426" s="182">
        <v>0</v>
      </c>
      <c r="DV426" s="167">
        <f t="shared" si="1800"/>
        <v>0</v>
      </c>
      <c r="DW426" s="167">
        <f t="shared" si="1800"/>
        <v>0</v>
      </c>
    </row>
    <row r="427" spans="1:127" ht="15.75" customHeight="1" x14ac:dyDescent="0.25">
      <c r="A427" s="154"/>
      <c r="B427" s="176">
        <v>376</v>
      </c>
      <c r="C427" s="177" t="s">
        <v>922</v>
      </c>
      <c r="D427" s="210" t="s">
        <v>923</v>
      </c>
      <c r="E427" s="158">
        <v>25969</v>
      </c>
      <c r="F427" s="201">
        <v>40</v>
      </c>
      <c r="G427" s="168">
        <v>1</v>
      </c>
      <c r="H427" s="169"/>
      <c r="I427" s="169"/>
      <c r="J427" s="169"/>
      <c r="K427" s="279">
        <v>0.2722</v>
      </c>
      <c r="L427" s="180">
        <v>1.4</v>
      </c>
      <c r="M427" s="180">
        <v>1.68</v>
      </c>
      <c r="N427" s="180">
        <v>2.23</v>
      </c>
      <c r="O427" s="181">
        <v>2.57</v>
      </c>
      <c r="P427" s="311"/>
      <c r="Q427" s="196">
        <f>(P427*$E427*$F427*((1-$K427)+$K427*$L427*G427))</f>
        <v>0</v>
      </c>
      <c r="R427" s="182"/>
      <c r="S427" s="182"/>
      <c r="T427" s="182"/>
      <c r="U427" s="182"/>
      <c r="V427" s="182"/>
      <c r="W427" s="196">
        <f>(V427*$E427*$F427*((1-$K427)+$K427*$L427*$G427))</f>
        <v>0</v>
      </c>
      <c r="X427" s="196"/>
      <c r="Y427" s="196">
        <v>0</v>
      </c>
      <c r="Z427" s="196"/>
      <c r="AA427" s="196">
        <v>0</v>
      </c>
      <c r="AB427" s="182">
        <f t="shared" si="1896"/>
        <v>0</v>
      </c>
      <c r="AC427" s="182">
        <f t="shared" si="1896"/>
        <v>0</v>
      </c>
      <c r="AD427" s="182"/>
      <c r="AE427" s="196">
        <f>(AD427*$E427*$F427*((1-$K427)+$K427*$L427*$G427))</f>
        <v>0</v>
      </c>
      <c r="AF427" s="182"/>
      <c r="AG427" s="182"/>
      <c r="AH427" s="182"/>
      <c r="AI427" s="196">
        <f>(AH427*$E427*$F427*((1-$K427)+$K427*$L427*$G427))</f>
        <v>0</v>
      </c>
      <c r="AJ427" s="182"/>
      <c r="AK427" s="182"/>
      <c r="AL427" s="182"/>
      <c r="AM427" s="182"/>
      <c r="AN427" s="184"/>
      <c r="AO427" s="196">
        <f>(AN427*$E427*$F427*((1-$K427)+$K427*$L427*$G427))</f>
        <v>0</v>
      </c>
      <c r="AP427" s="182"/>
      <c r="AQ427" s="196">
        <f>(AP427*$E427*$F427*((1-$K427)+$K427*$L427*$G427))</f>
        <v>0</v>
      </c>
      <c r="AR427" s="182"/>
      <c r="AS427" s="196">
        <f>(AR427*$E427*$F427*((1-$K427)+$K427*$L427*$G427))</f>
        <v>0</v>
      </c>
      <c r="AT427" s="182"/>
      <c r="AU427" s="196">
        <f>(AT427*$E427*$F427*((1-$K427)+$K427*$M427*$G427))</f>
        <v>0</v>
      </c>
      <c r="AV427" s="188"/>
      <c r="AW427" s="196">
        <f>(AV427*$E427*$F427*((1-$K427)+$K427*$M427*$G427))</f>
        <v>0</v>
      </c>
      <c r="AX427" s="182"/>
      <c r="AY427" s="196">
        <f>(AX427*$E427*$F427*((1-$K427)+$K427*$M427*$G427))</f>
        <v>0</v>
      </c>
      <c r="AZ427" s="182"/>
      <c r="BA427" s="182"/>
      <c r="BB427" s="182"/>
      <c r="BC427" s="182"/>
      <c r="BD427" s="182"/>
      <c r="BE427" s="182"/>
      <c r="BF427" s="182"/>
      <c r="BG427" s="182"/>
      <c r="BH427" s="182"/>
      <c r="BI427" s="182"/>
      <c r="BJ427" s="182"/>
      <c r="BK427" s="182"/>
      <c r="BL427" s="182"/>
      <c r="BM427" s="182"/>
      <c r="BN427" s="182"/>
      <c r="BO427" s="182"/>
      <c r="BP427" s="182"/>
      <c r="BQ427" s="182"/>
      <c r="BR427" s="182"/>
      <c r="BS427" s="182"/>
      <c r="BT427" s="182"/>
      <c r="BU427" s="182"/>
      <c r="BV427" s="182"/>
      <c r="BW427" s="182"/>
      <c r="BX427" s="182"/>
      <c r="BY427" s="182"/>
      <c r="BZ427" s="182"/>
      <c r="CA427" s="187"/>
      <c r="CB427" s="182"/>
      <c r="CC427" s="182"/>
      <c r="CD427" s="182"/>
      <c r="CE427" s="182"/>
      <c r="CF427" s="182"/>
      <c r="CG427" s="182"/>
      <c r="CH427" s="182"/>
      <c r="CI427" s="182"/>
      <c r="CJ427" s="182"/>
      <c r="CK427" s="182"/>
      <c r="CL427" s="182"/>
      <c r="CM427" s="182"/>
      <c r="CN427" s="182"/>
      <c r="CO427" s="182"/>
      <c r="CP427" s="182"/>
      <c r="CQ427" s="182"/>
      <c r="CR427" s="182"/>
      <c r="CS427" s="182"/>
      <c r="CT427" s="182"/>
      <c r="CU427" s="182"/>
      <c r="CV427" s="182"/>
      <c r="CW427" s="182">
        <v>0</v>
      </c>
      <c r="CX427" s="182"/>
      <c r="CY427" s="182"/>
      <c r="CZ427" s="182"/>
      <c r="DA427" s="182">
        <v>0</v>
      </c>
      <c r="DB427" s="188"/>
      <c r="DC427" s="182"/>
      <c r="DD427" s="182"/>
      <c r="DE427" s="187"/>
      <c r="DF427" s="182"/>
      <c r="DG427" s="182"/>
      <c r="DH427" s="189"/>
      <c r="DI427" s="182"/>
      <c r="DJ427" s="182"/>
      <c r="DK427" s="182"/>
      <c r="DL427" s="182"/>
      <c r="DM427" s="182"/>
      <c r="DN427" s="154"/>
      <c r="DO427" s="187"/>
      <c r="DP427" s="187"/>
      <c r="DQ427" s="187"/>
      <c r="DR427" s="183">
        <f t="shared" si="1865"/>
        <v>0</v>
      </c>
      <c r="DS427" s="183">
        <f t="shared" si="1865"/>
        <v>0</v>
      </c>
      <c r="DT427" s="182">
        <v>0</v>
      </c>
      <c r="DU427" s="182">
        <v>0</v>
      </c>
      <c r="DV427" s="167">
        <f t="shared" si="1800"/>
        <v>0</v>
      </c>
      <c r="DW427" s="167">
        <f t="shared" si="1800"/>
        <v>0</v>
      </c>
    </row>
    <row r="428" spans="1:127" s="6" customFormat="1" ht="30" x14ac:dyDescent="0.25">
      <c r="A428" s="154"/>
      <c r="B428" s="176">
        <v>377</v>
      </c>
      <c r="C428" s="177" t="s">
        <v>924</v>
      </c>
      <c r="D428" s="210" t="s">
        <v>925</v>
      </c>
      <c r="E428" s="158">
        <v>25969</v>
      </c>
      <c r="F428" s="169">
        <v>0.5</v>
      </c>
      <c r="G428" s="168">
        <v>1</v>
      </c>
      <c r="H428" s="169"/>
      <c r="I428" s="169"/>
      <c r="J428" s="169"/>
      <c r="K428" s="106"/>
      <c r="L428" s="180">
        <v>1.4</v>
      </c>
      <c r="M428" s="180">
        <v>1.68</v>
      </c>
      <c r="N428" s="180">
        <v>2.23</v>
      </c>
      <c r="O428" s="181">
        <v>2.57</v>
      </c>
      <c r="P428" s="311">
        <v>250</v>
      </c>
      <c r="Q428" s="182">
        <f>(P428*$E428*$F428*$G428*$L428*$Q$12)</f>
        <v>4999032.5</v>
      </c>
      <c r="R428" s="182">
        <v>145</v>
      </c>
      <c r="S428" s="182">
        <f>(R428*$E428*$F428*$G428*$L428*$S$12)</f>
        <v>2899438.85</v>
      </c>
      <c r="T428" s="182">
        <v>30</v>
      </c>
      <c r="U428" s="182">
        <f t="shared" ref="U428" si="1932">(T428/12*11*$E428*$F428*$G428*$L428*$U$12)+(T428/12*1*$E428*$F428*$G428*$L428*$U$14)</f>
        <v>688503.11249999993</v>
      </c>
      <c r="V428" s="182"/>
      <c r="W428" s="183">
        <f>(V428*$E428*$F428*$G428*$L428*$W$12)/12*10+(V428*$E428*$F428*$G428*$L428*$W$13)/12*1++(V428*$E428*$F428*$G428*$L428*$W$14)/12*1</f>
        <v>0</v>
      </c>
      <c r="X428" s="183">
        <v>102</v>
      </c>
      <c r="Y428" s="183">
        <v>2595861.2399999998</v>
      </c>
      <c r="Z428" s="183">
        <v>3</v>
      </c>
      <c r="AA428" s="183">
        <v>91618.631999999998</v>
      </c>
      <c r="AB428" s="182">
        <f t="shared" si="1896"/>
        <v>105</v>
      </c>
      <c r="AC428" s="182">
        <f t="shared" si="1896"/>
        <v>2687479.872</v>
      </c>
      <c r="AD428" s="182"/>
      <c r="AE428" s="182">
        <f>(AD428*$E428*$F428*$G428*$L428*$AE$12)</f>
        <v>0</v>
      </c>
      <c r="AF428" s="182"/>
      <c r="AG428" s="182"/>
      <c r="AH428" s="182">
        <v>40</v>
      </c>
      <c r="AI428" s="182">
        <f>(AH428*$E428*$F428*$G428*$L428*$AI$12)</f>
        <v>799845.20000000007</v>
      </c>
      <c r="AJ428" s="182"/>
      <c r="AK428" s="182"/>
      <c r="AL428" s="182"/>
      <c r="AM428" s="182"/>
      <c r="AN428" s="205"/>
      <c r="AO428" s="182">
        <f>(AN428*$E428*$F428*$G428*$L428*$AO$12)</f>
        <v>0</v>
      </c>
      <c r="AP428" s="182">
        <v>144</v>
      </c>
      <c r="AQ428" s="183">
        <f>(AP428*$E428*$F428*$G428*$L428*$AQ$12)</f>
        <v>2879442.7199999997</v>
      </c>
      <c r="AR428" s="182">
        <v>154</v>
      </c>
      <c r="AS428" s="182">
        <f t="shared" ref="AS428" si="1933">(AR428*$E428*$F428*$G428*$L428*$AS$12)/12*10+(AR428*$E428*$F428*$G428*$L428*$AS$13)/12*1+(AR428*$E428*$F428*$L428*$G428*$AS$14*$AS$15)/12*1</f>
        <v>3324309.9548633331</v>
      </c>
      <c r="AT428" s="182">
        <v>120</v>
      </c>
      <c r="AU428" s="182">
        <f>(AT428*$E428*$F428*$G428*$M428*$AU$12)/12*10+(AT428*$E428*$F428*$G428*$M428*$AU$13)/12+(AT428*$E428*$F428*$G428*$M428*$AU$14*$AU$15)/12</f>
        <v>3016607.5916423993</v>
      </c>
      <c r="AV428" s="188">
        <v>30</v>
      </c>
      <c r="AW428" s="182">
        <v>725314.10000000021</v>
      </c>
      <c r="AX428" s="182"/>
      <c r="AY428" s="187">
        <f>(AX428*$E428*$F428*$G428*$M428*$AY$12)</f>
        <v>0</v>
      </c>
      <c r="AZ428" s="182"/>
      <c r="BA428" s="182">
        <f>(AZ428*$E428*$F428*$G428*$L428*$BA$12)</f>
        <v>0</v>
      </c>
      <c r="BB428" s="182"/>
      <c r="BC428" s="182">
        <f>(BB428*$E428*$F428*$G428*$L428*$BC$12)</f>
        <v>0</v>
      </c>
      <c r="BD428" s="182"/>
      <c r="BE428" s="182">
        <f>(BD428*$E428*$F428*$G428*$L428*$BE$12)</f>
        <v>0</v>
      </c>
      <c r="BF428" s="182"/>
      <c r="BG428" s="182">
        <f>(BF428*$E428*$F428*$G428*$L428*$BG$12)</f>
        <v>0</v>
      </c>
      <c r="BH428" s="182"/>
      <c r="BI428" s="183">
        <f>(BH428*$E428*$F428*$G428*$L428*$BI$12)</f>
        <v>0</v>
      </c>
      <c r="BJ428" s="182"/>
      <c r="BK428" s="183">
        <f>(BJ428*$E428*$F428*$G428*$L428*$BK$12)</f>
        <v>0</v>
      </c>
      <c r="BL428" s="182"/>
      <c r="BM428" s="182">
        <f>(BL428*$E428*$F428*$G428*$L428*$BM$12)</f>
        <v>0</v>
      </c>
      <c r="BN428" s="182">
        <v>11</v>
      </c>
      <c r="BO428" s="182">
        <f>(BN428*$E428*$F428*$G428*$M428*$BO$12)</f>
        <v>263948.91600000003</v>
      </c>
      <c r="BP428" s="182"/>
      <c r="BQ428" s="182">
        <f>(BP428*$E428*$F428*$G428*$M428*$BQ$12)</f>
        <v>0</v>
      </c>
      <c r="BR428" s="182">
        <v>80</v>
      </c>
      <c r="BS428" s="183">
        <f>(BR428*$E428*$F428*$G428*$M428*$BS$12)</f>
        <v>1745116.8</v>
      </c>
      <c r="BT428" s="182"/>
      <c r="BU428" s="182">
        <f>(BT428*$E428*$F428*$G428*$M428*$BU$12)</f>
        <v>0</v>
      </c>
      <c r="BV428" s="182"/>
      <c r="BW428" s="182">
        <f>(BV428*$E428*$F428*$G428*$M428*$BW$12)</f>
        <v>0</v>
      </c>
      <c r="BX428" s="182"/>
      <c r="BY428" s="183">
        <f>(BX428*$E428*$F428*$G428*$M428*$BY$12)</f>
        <v>0</v>
      </c>
      <c r="BZ428" s="182">
        <v>27</v>
      </c>
      <c r="CA428" s="187">
        <f t="shared" ref="CA428" si="1934">(BZ428*$E428*$F428*$G428*$M428*$CA$12)/12*11+(BZ428*$E428*$F428*$G428*$M428*$CA$12*$CA$15)/12</f>
        <v>769748.66117099975</v>
      </c>
      <c r="CB428" s="182"/>
      <c r="CC428" s="182">
        <f>(CB428*$E428*$F428*$G428*$L428*$CC$12)</f>
        <v>0</v>
      </c>
      <c r="CD428" s="182"/>
      <c r="CE428" s="182">
        <f>(CD428*$E428*$F428*$G428*$L428*$CE$12)</f>
        <v>0</v>
      </c>
      <c r="CF428" s="182"/>
      <c r="CG428" s="182">
        <f>(CF428*$E428*$F428*$G428*$L428*$CG$12)</f>
        <v>0</v>
      </c>
      <c r="CH428" s="182">
        <v>15</v>
      </c>
      <c r="CI428" s="182">
        <f t="shared" ref="CI428" si="1935">(CH428*$E428*$F428*$G428*$M428*$CI$12)/12*11+(CH428*$E428*$F428*$G428*$M428*$CI$12*$CI$15)/12</f>
        <v>364653.60768899997</v>
      </c>
      <c r="CJ428" s="182"/>
      <c r="CK428" s="182"/>
      <c r="CL428" s="182"/>
      <c r="CM428" s="183">
        <f>(CL428*$E428*$F428*$G428*$L428*$CM$12)</f>
        <v>0</v>
      </c>
      <c r="CN428" s="182"/>
      <c r="CO428" s="183">
        <f>(CN428*$E428*$F428*$G428*$L428*$CO$12)</f>
        <v>0</v>
      </c>
      <c r="CP428" s="182"/>
      <c r="CQ428" s="182">
        <f>(CP428*$E428*$F428*$G428*$L428*$CQ$12)</f>
        <v>0</v>
      </c>
      <c r="CR428" s="182">
        <v>12</v>
      </c>
      <c r="CS428" s="182">
        <f t="shared" ref="CS428" si="1936">(CR428*$E428*$F428*$G428*$L428*$CS$12)/12*10+(CR428*$E428*$F428*$G428*$L428*$CS$13)/12+(CR428*$E428*$F428*$G428*$L428*$CS$13*$CS$15)/12</f>
        <v>261520.65868599998</v>
      </c>
      <c r="CT428" s="182"/>
      <c r="CU428" s="182">
        <f>(CT428*$E428*$F428*$G428*$L428*$CU$12)</f>
        <v>0</v>
      </c>
      <c r="CV428" s="182">
        <v>34</v>
      </c>
      <c r="CW428" s="182">
        <v>687139.73999999976</v>
      </c>
      <c r="CX428" s="182"/>
      <c r="CY428" s="182">
        <f>(CX428*$E428*$F428*$G428*$M428*$CY$12)</f>
        <v>0</v>
      </c>
      <c r="CZ428" s="182"/>
      <c r="DA428" s="182">
        <v>0</v>
      </c>
      <c r="DB428" s="188"/>
      <c r="DC428" s="182">
        <f>(DB428*$E428*$F428*$G428*$M428*$DC$12)</f>
        <v>0</v>
      </c>
      <c r="DD428" s="182"/>
      <c r="DE428" s="187"/>
      <c r="DF428" s="182"/>
      <c r="DG428" s="182">
        <f>(DF428*$E428*$F428*$G428*$M428*$DG$12)</f>
        <v>0</v>
      </c>
      <c r="DH428" s="189"/>
      <c r="DI428" s="182">
        <f>(DH428*$E428*$F428*$G428*$M428*$DI$12)</f>
        <v>0</v>
      </c>
      <c r="DJ428" s="182"/>
      <c r="DK428" s="182">
        <f>(DJ428*$E428*$F428*$G428*$M428*$DK$12)</f>
        <v>0</v>
      </c>
      <c r="DL428" s="182"/>
      <c r="DM428" s="182">
        <f>(DL428*$E428*$F428*$G428*$N428*$DM$12)</f>
        <v>0</v>
      </c>
      <c r="DN428" s="182"/>
      <c r="DO428" s="190">
        <f>(DN428*$E428*$F428*$G428*$O428*$DO$12)</f>
        <v>0</v>
      </c>
      <c r="DP428" s="187"/>
      <c r="DQ428" s="187"/>
      <c r="DR428" s="183">
        <f t="shared" si="1865"/>
        <v>1197</v>
      </c>
      <c r="DS428" s="183">
        <f t="shared" si="1865"/>
        <v>26112102.284551732</v>
      </c>
      <c r="DT428" s="182">
        <v>1194</v>
      </c>
      <c r="DU428" s="182">
        <v>25973458.011666667</v>
      </c>
      <c r="DV428" s="167">
        <f t="shared" si="1800"/>
        <v>3</v>
      </c>
      <c r="DW428" s="167">
        <f t="shared" si="1800"/>
        <v>138644.27288506553</v>
      </c>
    </row>
    <row r="429" spans="1:127" s="6" customFormat="1" ht="45" x14ac:dyDescent="0.25">
      <c r="A429" s="154"/>
      <c r="B429" s="176">
        <v>378</v>
      </c>
      <c r="C429" s="313" t="s">
        <v>926</v>
      </c>
      <c r="D429" s="312" t="s">
        <v>927</v>
      </c>
      <c r="E429" s="158">
        <v>25969</v>
      </c>
      <c r="F429" s="257">
        <v>1.67</v>
      </c>
      <c r="G429" s="168">
        <v>1</v>
      </c>
      <c r="H429" s="169"/>
      <c r="I429" s="169"/>
      <c r="J429" s="169"/>
      <c r="K429" s="279">
        <v>0</v>
      </c>
      <c r="L429" s="180">
        <v>1.4</v>
      </c>
      <c r="M429" s="180">
        <v>1.68</v>
      </c>
      <c r="N429" s="180">
        <v>2.23</v>
      </c>
      <c r="O429" s="181">
        <v>2.57</v>
      </c>
      <c r="P429" s="311">
        <v>45</v>
      </c>
      <c r="Q429" s="196">
        <f>(P429*$E429*$F429*((1-$K429)+$K429*$L429*$Q$12*$G429))</f>
        <v>1951570.3499999999</v>
      </c>
      <c r="R429" s="182">
        <v>60</v>
      </c>
      <c r="S429" s="196">
        <f>(R429*$E429*$F429*((1-$K429)+$K429*$L429*$S$12*$G429))</f>
        <v>2602093.7999999998</v>
      </c>
      <c r="T429" s="196"/>
      <c r="U429" s="196"/>
      <c r="V429" s="182"/>
      <c r="W429" s="183"/>
      <c r="X429" s="183"/>
      <c r="Y429" s="183"/>
      <c r="Z429" s="183"/>
      <c r="AA429" s="183"/>
      <c r="AB429" s="182">
        <f t="shared" si="1896"/>
        <v>0</v>
      </c>
      <c r="AC429" s="182">
        <f t="shared" si="1896"/>
        <v>0</v>
      </c>
      <c r="AD429" s="182"/>
      <c r="AE429" s="196"/>
      <c r="AF429" s="182"/>
      <c r="AG429" s="182"/>
      <c r="AH429" s="182"/>
      <c r="AI429" s="182"/>
      <c r="AJ429" s="182"/>
      <c r="AK429" s="182"/>
      <c r="AL429" s="182"/>
      <c r="AM429" s="182"/>
      <c r="AN429" s="205"/>
      <c r="AO429" s="182"/>
      <c r="AP429" s="182"/>
      <c r="AQ429" s="182"/>
      <c r="AR429" s="182"/>
      <c r="AS429" s="182"/>
      <c r="AT429" s="182"/>
      <c r="AU429" s="182"/>
      <c r="AV429" s="188"/>
      <c r="AW429" s="182"/>
      <c r="AX429" s="182"/>
      <c r="AY429" s="182"/>
      <c r="AZ429" s="182"/>
      <c r="BA429" s="182"/>
      <c r="BB429" s="182"/>
      <c r="BC429" s="182"/>
      <c r="BD429" s="182"/>
      <c r="BE429" s="182"/>
      <c r="BF429" s="182"/>
      <c r="BG429" s="182"/>
      <c r="BH429" s="182"/>
      <c r="BI429" s="182"/>
      <c r="BJ429" s="182"/>
      <c r="BK429" s="182"/>
      <c r="BL429" s="182"/>
      <c r="BM429" s="182"/>
      <c r="BN429" s="182"/>
      <c r="BO429" s="182"/>
      <c r="BP429" s="182"/>
      <c r="BQ429" s="182"/>
      <c r="BR429" s="182"/>
      <c r="BS429" s="182"/>
      <c r="BT429" s="182"/>
      <c r="BU429" s="182"/>
      <c r="BV429" s="182"/>
      <c r="BW429" s="182"/>
      <c r="BX429" s="182"/>
      <c r="BY429" s="182"/>
      <c r="BZ429" s="182"/>
      <c r="CA429" s="187"/>
      <c r="CB429" s="182"/>
      <c r="CC429" s="196"/>
      <c r="CD429" s="182"/>
      <c r="CE429" s="182"/>
      <c r="CF429" s="182"/>
      <c r="CG429" s="182"/>
      <c r="CH429" s="182"/>
      <c r="CI429" s="182"/>
      <c r="CJ429" s="182"/>
      <c r="CK429" s="182"/>
      <c r="CL429" s="182"/>
      <c r="CM429" s="182"/>
      <c r="CN429" s="182"/>
      <c r="CO429" s="182"/>
      <c r="CP429" s="182"/>
      <c r="CQ429" s="182"/>
      <c r="CR429" s="182"/>
      <c r="CS429" s="182"/>
      <c r="CT429" s="182"/>
      <c r="CU429" s="182"/>
      <c r="CV429" s="182"/>
      <c r="CW429" s="182">
        <v>0</v>
      </c>
      <c r="CX429" s="182"/>
      <c r="CY429" s="182"/>
      <c r="CZ429" s="182"/>
      <c r="DA429" s="182">
        <v>0</v>
      </c>
      <c r="DB429" s="188"/>
      <c r="DC429" s="196"/>
      <c r="DD429" s="182"/>
      <c r="DE429" s="187"/>
      <c r="DF429" s="182"/>
      <c r="DG429" s="182"/>
      <c r="DH429" s="189"/>
      <c r="DI429" s="182"/>
      <c r="DJ429" s="182"/>
      <c r="DK429" s="182"/>
      <c r="DL429" s="182"/>
      <c r="DM429" s="182"/>
      <c r="DN429" s="182"/>
      <c r="DO429" s="196"/>
      <c r="DP429" s="187"/>
      <c r="DQ429" s="187"/>
      <c r="DR429" s="183">
        <f t="shared" si="1865"/>
        <v>105</v>
      </c>
      <c r="DS429" s="183">
        <f t="shared" si="1865"/>
        <v>4553664.1499999994</v>
      </c>
      <c r="DT429" s="182">
        <v>95</v>
      </c>
      <c r="DU429" s="182">
        <v>4119981.8499999996</v>
      </c>
      <c r="DV429" s="167">
        <f t="shared" si="1800"/>
        <v>10</v>
      </c>
      <c r="DW429" s="167">
        <f t="shared" si="1800"/>
        <v>433682.29999999981</v>
      </c>
    </row>
    <row r="430" spans="1:127" s="6" customFormat="1" ht="45" x14ac:dyDescent="0.25">
      <c r="A430" s="154"/>
      <c r="B430" s="176">
        <v>379</v>
      </c>
      <c r="C430" s="313" t="s">
        <v>928</v>
      </c>
      <c r="D430" s="312" t="s">
        <v>929</v>
      </c>
      <c r="E430" s="158">
        <v>25969</v>
      </c>
      <c r="F430" s="257">
        <v>3.23</v>
      </c>
      <c r="G430" s="168">
        <v>1</v>
      </c>
      <c r="H430" s="169"/>
      <c r="I430" s="169"/>
      <c r="J430" s="169"/>
      <c r="K430" s="279">
        <v>0</v>
      </c>
      <c r="L430" s="180">
        <v>1.4</v>
      </c>
      <c r="M430" s="180">
        <v>1.68</v>
      </c>
      <c r="N430" s="180">
        <v>2.23</v>
      </c>
      <c r="O430" s="181">
        <v>2.57</v>
      </c>
      <c r="P430" s="311">
        <v>1</v>
      </c>
      <c r="Q430" s="196">
        <f>(P430*$E430*$F430*((1-$K430)+$K430*$L430*$Q$12*$G430))</f>
        <v>83879.87</v>
      </c>
      <c r="R430" s="182">
        <v>1</v>
      </c>
      <c r="S430" s="196">
        <f>(R430*$E430*$F430*((1-$K430)+$K430*$L430*$S$12*$G430))</f>
        <v>83879.87</v>
      </c>
      <c r="T430" s="196"/>
      <c r="U430" s="196"/>
      <c r="V430" s="182"/>
      <c r="W430" s="183"/>
      <c r="X430" s="183"/>
      <c r="Y430" s="183"/>
      <c r="Z430" s="183"/>
      <c r="AA430" s="183"/>
      <c r="AB430" s="182">
        <f t="shared" si="1896"/>
        <v>0</v>
      </c>
      <c r="AC430" s="182">
        <f t="shared" si="1896"/>
        <v>0</v>
      </c>
      <c r="AD430" s="182"/>
      <c r="AE430" s="196"/>
      <c r="AF430" s="182"/>
      <c r="AG430" s="182"/>
      <c r="AH430" s="182"/>
      <c r="AI430" s="182"/>
      <c r="AJ430" s="182"/>
      <c r="AK430" s="182"/>
      <c r="AL430" s="182"/>
      <c r="AM430" s="182"/>
      <c r="AN430" s="205"/>
      <c r="AO430" s="182"/>
      <c r="AP430" s="182"/>
      <c r="AQ430" s="182"/>
      <c r="AR430" s="182"/>
      <c r="AS430" s="182"/>
      <c r="AT430" s="182"/>
      <c r="AU430" s="182"/>
      <c r="AV430" s="188"/>
      <c r="AW430" s="182"/>
      <c r="AX430" s="182"/>
      <c r="AY430" s="182"/>
      <c r="AZ430" s="182"/>
      <c r="BA430" s="182"/>
      <c r="BB430" s="182"/>
      <c r="BC430" s="182"/>
      <c r="BD430" s="182"/>
      <c r="BE430" s="182"/>
      <c r="BF430" s="182"/>
      <c r="BG430" s="182"/>
      <c r="BH430" s="182"/>
      <c r="BI430" s="182"/>
      <c r="BJ430" s="182"/>
      <c r="BK430" s="182"/>
      <c r="BL430" s="182"/>
      <c r="BM430" s="182"/>
      <c r="BN430" s="182"/>
      <c r="BO430" s="182"/>
      <c r="BP430" s="182"/>
      <c r="BQ430" s="182"/>
      <c r="BR430" s="182"/>
      <c r="BS430" s="182"/>
      <c r="BT430" s="182"/>
      <c r="BU430" s="182"/>
      <c r="BV430" s="182"/>
      <c r="BW430" s="182"/>
      <c r="BX430" s="182"/>
      <c r="BY430" s="182"/>
      <c r="BZ430" s="182"/>
      <c r="CA430" s="187"/>
      <c r="CB430" s="182"/>
      <c r="CC430" s="196"/>
      <c r="CD430" s="182"/>
      <c r="CE430" s="182"/>
      <c r="CF430" s="182"/>
      <c r="CG430" s="182"/>
      <c r="CH430" s="182"/>
      <c r="CI430" s="182"/>
      <c r="CJ430" s="182"/>
      <c r="CK430" s="182"/>
      <c r="CL430" s="182"/>
      <c r="CM430" s="182"/>
      <c r="CN430" s="182"/>
      <c r="CO430" s="182"/>
      <c r="CP430" s="182"/>
      <c r="CQ430" s="182"/>
      <c r="CR430" s="182"/>
      <c r="CS430" s="182"/>
      <c r="CT430" s="182"/>
      <c r="CU430" s="182"/>
      <c r="CV430" s="182"/>
      <c r="CW430" s="182">
        <v>0</v>
      </c>
      <c r="CX430" s="182"/>
      <c r="CY430" s="182"/>
      <c r="CZ430" s="182"/>
      <c r="DA430" s="182">
        <v>0</v>
      </c>
      <c r="DB430" s="188"/>
      <c r="DC430" s="196"/>
      <c r="DD430" s="182"/>
      <c r="DE430" s="187"/>
      <c r="DF430" s="182"/>
      <c r="DG430" s="182"/>
      <c r="DH430" s="189"/>
      <c r="DI430" s="182"/>
      <c r="DJ430" s="182"/>
      <c r="DK430" s="182"/>
      <c r="DL430" s="182"/>
      <c r="DM430" s="182"/>
      <c r="DN430" s="182"/>
      <c r="DO430" s="196"/>
      <c r="DP430" s="187"/>
      <c r="DQ430" s="187"/>
      <c r="DR430" s="183">
        <f t="shared" si="1865"/>
        <v>2</v>
      </c>
      <c r="DS430" s="183">
        <f t="shared" si="1865"/>
        <v>167759.74</v>
      </c>
      <c r="DT430" s="182">
        <v>1</v>
      </c>
      <c r="DU430" s="182">
        <v>83879.87</v>
      </c>
      <c r="DV430" s="167">
        <f t="shared" si="1800"/>
        <v>1</v>
      </c>
      <c r="DW430" s="167">
        <f t="shared" si="1800"/>
        <v>83879.87</v>
      </c>
    </row>
    <row r="431" spans="1:127" s="6" customFormat="1" ht="45" x14ac:dyDescent="0.25">
      <c r="A431" s="154"/>
      <c r="B431" s="176">
        <v>380</v>
      </c>
      <c r="C431" s="313" t="s">
        <v>930</v>
      </c>
      <c r="D431" s="312" t="s">
        <v>931</v>
      </c>
      <c r="E431" s="158">
        <v>25969</v>
      </c>
      <c r="F431" s="257">
        <v>9.91</v>
      </c>
      <c r="G431" s="168">
        <v>1</v>
      </c>
      <c r="H431" s="169"/>
      <c r="I431" s="169"/>
      <c r="J431" s="169"/>
      <c r="K431" s="279">
        <v>0</v>
      </c>
      <c r="L431" s="180">
        <v>1.4</v>
      </c>
      <c r="M431" s="180">
        <v>1.68</v>
      </c>
      <c r="N431" s="180">
        <v>2.23</v>
      </c>
      <c r="O431" s="181">
        <v>2.57</v>
      </c>
      <c r="P431" s="311">
        <v>3</v>
      </c>
      <c r="Q431" s="196">
        <f>(P431*$E431*$F431*((1-$K431)+$K431*$L431*$Q$12*$G431))</f>
        <v>772058.37</v>
      </c>
      <c r="R431" s="182">
        <v>7</v>
      </c>
      <c r="S431" s="196">
        <f>(R431*$E431*$F431*((1-$K431)+$K431*$L431*$S$12*$G431))</f>
        <v>1801469.53</v>
      </c>
      <c r="T431" s="196">
        <v>0</v>
      </c>
      <c r="U431" s="196">
        <f>(T431/12*11*$E431*$F431*((1-$K431)+$K431*$L431*U$12*$G431))+(T431/12*1*$E431*$F431*((1-$K431)+$K431*$L431*U$14*$G431))</f>
        <v>0</v>
      </c>
      <c r="V431" s="182"/>
      <c r="W431" s="183"/>
      <c r="X431" s="183"/>
      <c r="Y431" s="183"/>
      <c r="Z431" s="183"/>
      <c r="AA431" s="183"/>
      <c r="AB431" s="182">
        <f t="shared" si="1896"/>
        <v>0</v>
      </c>
      <c r="AC431" s="182">
        <f t="shared" si="1896"/>
        <v>0</v>
      </c>
      <c r="AD431" s="182"/>
      <c r="AE431" s="196"/>
      <c r="AF431" s="182"/>
      <c r="AG431" s="182"/>
      <c r="AH431" s="182"/>
      <c r="AI431" s="182"/>
      <c r="AJ431" s="182"/>
      <c r="AK431" s="182"/>
      <c r="AL431" s="182"/>
      <c r="AM431" s="182"/>
      <c r="AN431" s="205"/>
      <c r="AO431" s="182"/>
      <c r="AP431" s="182"/>
      <c r="AQ431" s="182"/>
      <c r="AR431" s="182"/>
      <c r="AS431" s="182"/>
      <c r="AT431" s="182"/>
      <c r="AU431" s="182"/>
      <c r="AV431" s="188"/>
      <c r="AW431" s="182"/>
      <c r="AX431" s="182"/>
      <c r="AY431" s="182"/>
      <c r="AZ431" s="182"/>
      <c r="BA431" s="182"/>
      <c r="BB431" s="182"/>
      <c r="BC431" s="182"/>
      <c r="BD431" s="182"/>
      <c r="BE431" s="182"/>
      <c r="BF431" s="182"/>
      <c r="BG431" s="182"/>
      <c r="BH431" s="182"/>
      <c r="BI431" s="182"/>
      <c r="BJ431" s="182"/>
      <c r="BK431" s="182"/>
      <c r="BL431" s="182"/>
      <c r="BM431" s="182"/>
      <c r="BN431" s="182"/>
      <c r="BO431" s="182"/>
      <c r="BP431" s="182"/>
      <c r="BQ431" s="182"/>
      <c r="BR431" s="182"/>
      <c r="BS431" s="182"/>
      <c r="BT431" s="182"/>
      <c r="BU431" s="182"/>
      <c r="BV431" s="182"/>
      <c r="BW431" s="182"/>
      <c r="BX431" s="182"/>
      <c r="BY431" s="182"/>
      <c r="BZ431" s="182"/>
      <c r="CA431" s="187"/>
      <c r="CB431" s="182"/>
      <c r="CC431" s="196"/>
      <c r="CD431" s="182"/>
      <c r="CE431" s="182"/>
      <c r="CF431" s="182"/>
      <c r="CG431" s="182"/>
      <c r="CH431" s="182"/>
      <c r="CI431" s="182"/>
      <c r="CJ431" s="182"/>
      <c r="CK431" s="182"/>
      <c r="CL431" s="182"/>
      <c r="CM431" s="182"/>
      <c r="CN431" s="182"/>
      <c r="CO431" s="182"/>
      <c r="CP431" s="182"/>
      <c r="CQ431" s="182"/>
      <c r="CR431" s="182"/>
      <c r="CS431" s="182"/>
      <c r="CT431" s="182"/>
      <c r="CU431" s="182"/>
      <c r="CV431" s="182"/>
      <c r="CW431" s="182">
        <v>0</v>
      </c>
      <c r="CX431" s="182"/>
      <c r="CY431" s="182"/>
      <c r="CZ431" s="182"/>
      <c r="DA431" s="182">
        <v>0</v>
      </c>
      <c r="DB431" s="188"/>
      <c r="DC431" s="196"/>
      <c r="DD431" s="182"/>
      <c r="DE431" s="187"/>
      <c r="DF431" s="182"/>
      <c r="DG431" s="182"/>
      <c r="DH431" s="189"/>
      <c r="DI431" s="182"/>
      <c r="DJ431" s="182"/>
      <c r="DK431" s="182"/>
      <c r="DL431" s="182"/>
      <c r="DM431" s="182"/>
      <c r="DN431" s="182"/>
      <c r="DO431" s="196"/>
      <c r="DP431" s="187"/>
      <c r="DQ431" s="187"/>
      <c r="DR431" s="183">
        <f t="shared" si="1865"/>
        <v>10</v>
      </c>
      <c r="DS431" s="183">
        <f t="shared" si="1865"/>
        <v>2573527.9</v>
      </c>
      <c r="DT431" s="182">
        <v>8</v>
      </c>
      <c r="DU431" s="182">
        <v>2058822.3199999998</v>
      </c>
      <c r="DV431" s="167">
        <f t="shared" si="1800"/>
        <v>2</v>
      </c>
      <c r="DW431" s="167">
        <f t="shared" si="1800"/>
        <v>514705.58000000007</v>
      </c>
    </row>
    <row r="432" spans="1:127" s="6" customFormat="1" ht="22.5" customHeight="1" x14ac:dyDescent="0.25">
      <c r="A432" s="154"/>
      <c r="B432" s="176">
        <v>381</v>
      </c>
      <c r="C432" s="313" t="s">
        <v>932</v>
      </c>
      <c r="D432" s="312" t="s">
        <v>933</v>
      </c>
      <c r="E432" s="158">
        <v>25969</v>
      </c>
      <c r="F432" s="257">
        <v>2.46</v>
      </c>
      <c r="G432" s="168">
        <v>1</v>
      </c>
      <c r="H432" s="169"/>
      <c r="I432" s="169"/>
      <c r="J432" s="169"/>
      <c r="K432" s="195">
        <v>0.70660000000000001</v>
      </c>
      <c r="L432" s="180">
        <v>1.4</v>
      </c>
      <c r="M432" s="180">
        <v>1.68</v>
      </c>
      <c r="N432" s="180">
        <v>2.23</v>
      </c>
      <c r="O432" s="181">
        <v>2.57</v>
      </c>
      <c r="P432" s="311">
        <v>0</v>
      </c>
      <c r="Q432" s="196">
        <f>(P432*$E432*$F432*((1-$K432)+$K432*$L432*G432))</f>
        <v>0</v>
      </c>
      <c r="R432" s="182"/>
      <c r="S432" s="182"/>
      <c r="T432" s="196"/>
      <c r="U432" s="196"/>
      <c r="V432" s="182"/>
      <c r="W432" s="196">
        <f>(V432*$E432*$F432*((1-$K432)+$K432*$L432*$G432))</f>
        <v>0</v>
      </c>
      <c r="X432" s="196">
        <v>17</v>
      </c>
      <c r="Y432" s="196">
        <v>1392977.2846511998</v>
      </c>
      <c r="Z432" s="196"/>
      <c r="AA432" s="196">
        <v>0</v>
      </c>
      <c r="AB432" s="182">
        <f>X432+Z432</f>
        <v>17</v>
      </c>
      <c r="AC432" s="182">
        <f>Y432+AA432</f>
        <v>1392977.2846511998</v>
      </c>
      <c r="AD432" s="182"/>
      <c r="AE432" s="196">
        <f>(AD432*$E432*$F432*((1-$K432)+$K432*$L432*$G432))</f>
        <v>0</v>
      </c>
      <c r="AF432" s="182"/>
      <c r="AG432" s="182"/>
      <c r="AH432" s="182"/>
      <c r="AI432" s="196">
        <f>(AH432*$E432*$F432*((1-$K432)+$K432*$L432*$G432))</f>
        <v>0</v>
      </c>
      <c r="AJ432" s="182"/>
      <c r="AK432" s="182"/>
      <c r="AL432" s="182"/>
      <c r="AM432" s="182"/>
      <c r="AN432" s="205"/>
      <c r="AO432" s="196">
        <f>(AN432*$E432*$F432*((1-$K432)+$K432*$L432*$G432))</f>
        <v>0</v>
      </c>
      <c r="AP432" s="182"/>
      <c r="AQ432" s="196">
        <f>(AP432*$E432*$F432*((1-$K432)+$K432*$L432*$G432))</f>
        <v>0</v>
      </c>
      <c r="AR432" s="182"/>
      <c r="AS432" s="196">
        <f>(AR432*$E432*$F432*((1-$K432)+$K432*$L432*$G432))</f>
        <v>0</v>
      </c>
      <c r="AT432" s="182"/>
      <c r="AU432" s="196">
        <f>(AT432*$E432*$F432*((1-$K432)+$K432*$M432*$G432))</f>
        <v>0</v>
      </c>
      <c r="AV432" s="188"/>
      <c r="AW432" s="196">
        <f>(AV432*$E432*$F432*((1-$K432)+$K432*$M432*$G432))</f>
        <v>0</v>
      </c>
      <c r="AX432" s="182"/>
      <c r="AY432" s="196">
        <f>(AX432*$E432*$F432*((1-$K432)+$K432*$M432*$G432))</f>
        <v>0</v>
      </c>
      <c r="AZ432" s="182"/>
      <c r="BA432" s="182"/>
      <c r="BB432" s="182"/>
      <c r="BC432" s="182"/>
      <c r="BD432" s="182"/>
      <c r="BE432" s="182"/>
      <c r="BF432" s="182"/>
      <c r="BG432" s="182"/>
      <c r="BH432" s="182"/>
      <c r="BI432" s="182"/>
      <c r="BJ432" s="182"/>
      <c r="BK432" s="182"/>
      <c r="BL432" s="182"/>
      <c r="BM432" s="182"/>
      <c r="BN432" s="182"/>
      <c r="BO432" s="182"/>
      <c r="BP432" s="182"/>
      <c r="BQ432" s="182"/>
      <c r="BR432" s="182"/>
      <c r="BS432" s="182"/>
      <c r="BT432" s="182"/>
      <c r="BU432" s="182"/>
      <c r="BV432" s="182"/>
      <c r="BW432" s="182"/>
      <c r="BX432" s="182"/>
      <c r="BY432" s="182"/>
      <c r="BZ432" s="182"/>
      <c r="CA432" s="187"/>
      <c r="CB432" s="182"/>
      <c r="CC432" s="196"/>
      <c r="CD432" s="182"/>
      <c r="CE432" s="182"/>
      <c r="CF432" s="182"/>
      <c r="CG432" s="182"/>
      <c r="CH432" s="182"/>
      <c r="CI432" s="182"/>
      <c r="CJ432" s="182"/>
      <c r="CK432" s="182"/>
      <c r="CL432" s="182"/>
      <c r="CM432" s="182"/>
      <c r="CN432" s="182"/>
      <c r="CO432" s="182"/>
      <c r="CP432" s="182"/>
      <c r="CQ432" s="182"/>
      <c r="CR432" s="182"/>
      <c r="CS432" s="182"/>
      <c r="CT432" s="182"/>
      <c r="CU432" s="182"/>
      <c r="CV432" s="182"/>
      <c r="CW432" s="182">
        <v>0</v>
      </c>
      <c r="CX432" s="182"/>
      <c r="CY432" s="182"/>
      <c r="CZ432" s="182"/>
      <c r="DA432" s="182">
        <v>0</v>
      </c>
      <c r="DB432" s="188"/>
      <c r="DC432" s="196"/>
      <c r="DD432" s="182"/>
      <c r="DE432" s="187">
        <f>(DD432*$E432*$F432*$G432*$M432)</f>
        <v>0</v>
      </c>
      <c r="DF432" s="182"/>
      <c r="DG432" s="182"/>
      <c r="DH432" s="189"/>
      <c r="DI432" s="182"/>
      <c r="DJ432" s="182"/>
      <c r="DK432" s="182"/>
      <c r="DL432" s="182"/>
      <c r="DM432" s="182"/>
      <c r="DN432" s="182"/>
      <c r="DO432" s="196"/>
      <c r="DP432" s="187"/>
      <c r="DQ432" s="187"/>
      <c r="DR432" s="183">
        <f t="shared" si="1865"/>
        <v>17</v>
      </c>
      <c r="DS432" s="183">
        <f t="shared" si="1865"/>
        <v>1392977.2846511998</v>
      </c>
      <c r="DT432" s="182">
        <v>17</v>
      </c>
      <c r="DU432" s="182">
        <v>1392977.2846511998</v>
      </c>
      <c r="DV432" s="167">
        <f t="shared" si="1800"/>
        <v>0</v>
      </c>
      <c r="DW432" s="167">
        <f t="shared" si="1800"/>
        <v>0</v>
      </c>
    </row>
    <row r="433" spans="1:127" s="6" customFormat="1" ht="49.5" customHeight="1" x14ac:dyDescent="0.25">
      <c r="A433" s="154"/>
      <c r="B433" s="176">
        <v>382</v>
      </c>
      <c r="C433" s="313" t="s">
        <v>934</v>
      </c>
      <c r="D433" s="312" t="s">
        <v>935</v>
      </c>
      <c r="E433" s="158">
        <v>25969</v>
      </c>
      <c r="F433" s="257">
        <v>1.52</v>
      </c>
      <c r="G433" s="168">
        <v>1</v>
      </c>
      <c r="H433" s="169"/>
      <c r="I433" s="169"/>
      <c r="J433" s="169"/>
      <c r="K433" s="195">
        <v>5.8500000000000003E-2</v>
      </c>
      <c r="L433" s="180">
        <v>1.4</v>
      </c>
      <c r="M433" s="180">
        <v>1.68</v>
      </c>
      <c r="N433" s="180">
        <v>2.23</v>
      </c>
      <c r="O433" s="181">
        <v>2.57</v>
      </c>
      <c r="P433" s="311">
        <v>0</v>
      </c>
      <c r="Q433" s="196">
        <f>(P433*$E433*$F433*((1-$K433)+$K433*$L433*$Q$12*$G433))</f>
        <v>0</v>
      </c>
      <c r="R433" s="196"/>
      <c r="S433" s="196">
        <f>(R433*$E433*$F433*((1-$K433)+$K433*$L433*$S$12*$G433))</f>
        <v>0</v>
      </c>
      <c r="T433" s="196"/>
      <c r="U433" s="196">
        <f t="shared" ref="U433:U434" si="1937">(T433*$E433*$F433*((1-$K433)+$K433*$L433*U$12*$G433))</f>
        <v>0</v>
      </c>
      <c r="V433" s="182"/>
      <c r="W433" s="196">
        <f>(V433*$E433*$F433*((1-$K433)+$K433*$L433*$W$12*$G433))</f>
        <v>0</v>
      </c>
      <c r="X433" s="196"/>
      <c r="Y433" s="196">
        <v>0</v>
      </c>
      <c r="Z433" s="196"/>
      <c r="AA433" s="196">
        <v>0</v>
      </c>
      <c r="AB433" s="182">
        <f t="shared" ref="AB433:AC455" si="1938">X433+Z433</f>
        <v>0</v>
      </c>
      <c r="AC433" s="182">
        <f t="shared" si="1938"/>
        <v>0</v>
      </c>
      <c r="AD433" s="182"/>
      <c r="AE433" s="196">
        <f>(AD433*$E433*$F433*((1-$K433)+$K433*$L433*$AE$12*$G433))</f>
        <v>0</v>
      </c>
      <c r="AF433" s="182"/>
      <c r="AG433" s="182"/>
      <c r="AH433" s="182"/>
      <c r="AI433" s="196">
        <f>(AH433*$E433*$F433*((1-$K433)+$K433*$L433*AI$12*$G433))</f>
        <v>0</v>
      </c>
      <c r="AJ433" s="196"/>
      <c r="AK433" s="196"/>
      <c r="AL433" s="182"/>
      <c r="AM433" s="182"/>
      <c r="AN433" s="205"/>
      <c r="AO433" s="196">
        <f t="shared" ref="AO433:AO434" si="1939">(AN433*$E433*$F433*((1-$K433)+$K433*$G433*AO$12*$L433))</f>
        <v>0</v>
      </c>
      <c r="AP433" s="182"/>
      <c r="AQ433" s="196">
        <f>(AP433*$E433*$F433*((1-$K433)+$K433*$G433*AQ$12*$L433))</f>
        <v>0</v>
      </c>
      <c r="AR433" s="182"/>
      <c r="AS433" s="196">
        <f>(AR433*$E433*$F433*((1-$K433)+$K433*$G433*AS$12*$L433))</f>
        <v>0</v>
      </c>
      <c r="AT433" s="182"/>
      <c r="AU433" s="196">
        <f t="shared" ref="AU433" si="1940">(AT433*$E433*$F433*((1-$K433)+$K433*$G433*AU$12*$M433))</f>
        <v>0</v>
      </c>
      <c r="AV433" s="188"/>
      <c r="AW433" s="196">
        <f>(AV433*$E433*$F433*((1-$K433)+$K433*$M433*$AW$12*G433))</f>
        <v>0</v>
      </c>
      <c r="AX433" s="182"/>
      <c r="AY433" s="196">
        <f>(AX433*$E433*$F433*((1-$K433)+$K433*$G433*AY$12*$M433))</f>
        <v>0</v>
      </c>
      <c r="AZ433" s="182"/>
      <c r="BA433" s="182"/>
      <c r="BB433" s="182"/>
      <c r="BC433" s="182"/>
      <c r="BD433" s="182"/>
      <c r="BE433" s="182"/>
      <c r="BF433" s="182"/>
      <c r="BG433" s="182"/>
      <c r="BH433" s="182"/>
      <c r="BI433" s="182"/>
      <c r="BJ433" s="182"/>
      <c r="BK433" s="182"/>
      <c r="BL433" s="182"/>
      <c r="BM433" s="182"/>
      <c r="BN433" s="182"/>
      <c r="BO433" s="196"/>
      <c r="BP433" s="182"/>
      <c r="BQ433" s="182"/>
      <c r="BR433" s="182"/>
      <c r="BS433" s="182"/>
      <c r="BT433" s="182"/>
      <c r="BU433" s="182"/>
      <c r="BV433" s="182"/>
      <c r="BW433" s="182"/>
      <c r="BX433" s="182"/>
      <c r="BY433" s="182"/>
      <c r="BZ433" s="182"/>
      <c r="CA433" s="187"/>
      <c r="CB433" s="182"/>
      <c r="CC433" s="196">
        <f>(CB433*$E433*$F433*((1-$K433)+$K433*$G433*CC$12*$L433))</f>
        <v>0</v>
      </c>
      <c r="CD433" s="182"/>
      <c r="CE433" s="182"/>
      <c r="CF433" s="182"/>
      <c r="CG433" s="182"/>
      <c r="CH433" s="182"/>
      <c r="CI433" s="182"/>
      <c r="CJ433" s="182"/>
      <c r="CK433" s="182"/>
      <c r="CL433" s="182"/>
      <c r="CM433" s="182"/>
      <c r="CN433" s="182"/>
      <c r="CO433" s="182"/>
      <c r="CP433" s="182"/>
      <c r="CQ433" s="182"/>
      <c r="CR433" s="182"/>
      <c r="CS433" s="182"/>
      <c r="CT433" s="182"/>
      <c r="CU433" s="182"/>
      <c r="CV433" s="182"/>
      <c r="CW433" s="182">
        <v>0</v>
      </c>
      <c r="CX433" s="182"/>
      <c r="CY433" s="182"/>
      <c r="CZ433" s="182"/>
      <c r="DA433" s="182">
        <v>0</v>
      </c>
      <c r="DB433" s="188"/>
      <c r="DC433" s="196"/>
      <c r="DD433" s="182"/>
      <c r="DE433" s="187"/>
      <c r="DF433" s="182"/>
      <c r="DG433" s="182"/>
      <c r="DH433" s="189"/>
      <c r="DI433" s="182"/>
      <c r="DJ433" s="182"/>
      <c r="DK433" s="196">
        <f t="shared" ref="DK433:DK434" si="1941">(DJ433*$E433*$F433*((1-$K433)+$K433*$G433*DK$12*$M433))</f>
        <v>0</v>
      </c>
      <c r="DL433" s="182"/>
      <c r="DM433" s="182"/>
      <c r="DN433" s="182"/>
      <c r="DO433" s="196"/>
      <c r="DP433" s="187"/>
      <c r="DQ433" s="187"/>
      <c r="DR433" s="183">
        <f t="shared" si="1865"/>
        <v>0</v>
      </c>
      <c r="DS433" s="183">
        <f t="shared" si="1865"/>
        <v>0</v>
      </c>
      <c r="DT433" s="182">
        <v>0</v>
      </c>
      <c r="DU433" s="182">
        <v>0</v>
      </c>
      <c r="DV433" s="167">
        <f t="shared" si="1800"/>
        <v>0</v>
      </c>
      <c r="DW433" s="167">
        <f t="shared" si="1800"/>
        <v>0</v>
      </c>
    </row>
    <row r="434" spans="1:127" s="6" customFormat="1" ht="45" x14ac:dyDescent="0.25">
      <c r="A434" s="154"/>
      <c r="B434" s="176">
        <v>383</v>
      </c>
      <c r="C434" s="313" t="s">
        <v>936</v>
      </c>
      <c r="D434" s="312" t="s">
        <v>937</v>
      </c>
      <c r="E434" s="158">
        <v>25969</v>
      </c>
      <c r="F434" s="257">
        <v>3.24</v>
      </c>
      <c r="G434" s="168">
        <v>1</v>
      </c>
      <c r="H434" s="169"/>
      <c r="I434" s="169"/>
      <c r="J434" s="169"/>
      <c r="K434" s="195">
        <v>4.58E-2</v>
      </c>
      <c r="L434" s="180">
        <v>1.4</v>
      </c>
      <c r="M434" s="180">
        <v>1.68</v>
      </c>
      <c r="N434" s="180">
        <v>2.23</v>
      </c>
      <c r="O434" s="181">
        <v>2.57</v>
      </c>
      <c r="P434" s="311">
        <v>0</v>
      </c>
      <c r="Q434" s="196">
        <f>(P434*$E434*$F434*((1-$K434)+$K434*$L434*$Q$12*$G434))</f>
        <v>0</v>
      </c>
      <c r="R434" s="196"/>
      <c r="S434" s="196">
        <f>(R434*$E434*$F434*((1-$K434)+$K434*$L434*$S$12*$G434))</f>
        <v>0</v>
      </c>
      <c r="T434" s="196"/>
      <c r="U434" s="196">
        <f t="shared" si="1937"/>
        <v>0</v>
      </c>
      <c r="V434" s="182"/>
      <c r="W434" s="196">
        <f>(V434*$E434*$F434*((1-$K434)+$K434*$L434*$W$12*$G434))</f>
        <v>0</v>
      </c>
      <c r="X434" s="196"/>
      <c r="Y434" s="196">
        <v>0</v>
      </c>
      <c r="Z434" s="196"/>
      <c r="AA434" s="196">
        <v>0</v>
      </c>
      <c r="AB434" s="182">
        <f t="shared" si="1938"/>
        <v>0</v>
      </c>
      <c r="AC434" s="182">
        <f t="shared" si="1938"/>
        <v>0</v>
      </c>
      <c r="AD434" s="182"/>
      <c r="AE434" s="196">
        <f>(AD434*$E434*$F434*((1-$K434)+$K434*$L434*$AE$12*$G434))</f>
        <v>0</v>
      </c>
      <c r="AF434" s="182"/>
      <c r="AG434" s="182"/>
      <c r="AH434" s="182"/>
      <c r="AI434" s="196">
        <f t="shared" ref="AI434" si="1942">(AH434*$E434*$F434*((1-$K434)+$K434*$L434*AI$12*$G434))</f>
        <v>0</v>
      </c>
      <c r="AJ434" s="196"/>
      <c r="AK434" s="196"/>
      <c r="AL434" s="182"/>
      <c r="AM434" s="182"/>
      <c r="AN434" s="205"/>
      <c r="AO434" s="196">
        <f t="shared" si="1939"/>
        <v>0</v>
      </c>
      <c r="AP434" s="182"/>
      <c r="AQ434" s="196">
        <f>(AP434*$E434*$F434*((1-$K434)+$K434*$G434*AQ$12*$L434))</f>
        <v>0</v>
      </c>
      <c r="AR434" s="182"/>
      <c r="AS434" s="196">
        <f>(AR434*$E434*$F434*((1-$K434)+$K434*$G434*AS$12*$L434))</f>
        <v>0</v>
      </c>
      <c r="AT434" s="182"/>
      <c r="AU434" s="196">
        <f>(AT434*$E434*$F434*((1-$K434)+$K434*$G434*AU$12*$M434))</f>
        <v>0</v>
      </c>
      <c r="AV434" s="188"/>
      <c r="AW434" s="196">
        <f>(AV434*$E434*$F434*((1-$K434)+$K434*$M434*$AW$12*G434))</f>
        <v>0</v>
      </c>
      <c r="AX434" s="182"/>
      <c r="AY434" s="196">
        <f t="shared" ref="AY434" si="1943">(AX434*$E434*$F434*((1-$K434)+$K434*$G434*AY$12*$M434))</f>
        <v>0</v>
      </c>
      <c r="AZ434" s="182"/>
      <c r="BA434" s="182"/>
      <c r="BB434" s="182"/>
      <c r="BC434" s="182"/>
      <c r="BD434" s="182"/>
      <c r="BE434" s="182"/>
      <c r="BF434" s="182"/>
      <c r="BG434" s="182"/>
      <c r="BH434" s="182"/>
      <c r="BI434" s="182"/>
      <c r="BJ434" s="182"/>
      <c r="BK434" s="182"/>
      <c r="BL434" s="182"/>
      <c r="BM434" s="182"/>
      <c r="BN434" s="182"/>
      <c r="BO434" s="196"/>
      <c r="BP434" s="182"/>
      <c r="BQ434" s="182"/>
      <c r="BR434" s="182"/>
      <c r="BS434" s="182"/>
      <c r="BT434" s="182"/>
      <c r="BU434" s="182"/>
      <c r="BV434" s="182"/>
      <c r="BW434" s="182"/>
      <c r="BX434" s="182"/>
      <c r="BY434" s="182"/>
      <c r="BZ434" s="182"/>
      <c r="CA434" s="187"/>
      <c r="CB434" s="182"/>
      <c r="CC434" s="196"/>
      <c r="CD434" s="182"/>
      <c r="CE434" s="182"/>
      <c r="CF434" s="182"/>
      <c r="CG434" s="182"/>
      <c r="CH434" s="182"/>
      <c r="CI434" s="182"/>
      <c r="CJ434" s="182"/>
      <c r="CK434" s="182"/>
      <c r="CL434" s="182"/>
      <c r="CM434" s="182"/>
      <c r="CN434" s="182"/>
      <c r="CO434" s="182"/>
      <c r="CP434" s="182"/>
      <c r="CQ434" s="182"/>
      <c r="CR434" s="182"/>
      <c r="CS434" s="182"/>
      <c r="CT434" s="182"/>
      <c r="CU434" s="182"/>
      <c r="CV434" s="182"/>
      <c r="CW434" s="182">
        <v>0</v>
      </c>
      <c r="CX434" s="182"/>
      <c r="CY434" s="182"/>
      <c r="CZ434" s="182"/>
      <c r="DA434" s="182">
        <v>0</v>
      </c>
      <c r="DB434" s="188"/>
      <c r="DC434" s="196"/>
      <c r="DD434" s="182"/>
      <c r="DE434" s="187"/>
      <c r="DF434" s="182"/>
      <c r="DG434" s="182"/>
      <c r="DH434" s="189"/>
      <c r="DI434" s="182"/>
      <c r="DJ434" s="182"/>
      <c r="DK434" s="196">
        <f t="shared" si="1941"/>
        <v>0</v>
      </c>
      <c r="DL434" s="182"/>
      <c r="DM434" s="182"/>
      <c r="DN434" s="182"/>
      <c r="DO434" s="196"/>
      <c r="DP434" s="187"/>
      <c r="DQ434" s="187"/>
      <c r="DR434" s="183">
        <f t="shared" si="1865"/>
        <v>0</v>
      </c>
      <c r="DS434" s="183">
        <f t="shared" si="1865"/>
        <v>0</v>
      </c>
      <c r="DT434" s="182">
        <v>0</v>
      </c>
      <c r="DU434" s="182">
        <v>0</v>
      </c>
      <c r="DV434" s="167">
        <f t="shared" si="1800"/>
        <v>0</v>
      </c>
      <c r="DW434" s="167">
        <f t="shared" si="1800"/>
        <v>0</v>
      </c>
    </row>
    <row r="435" spans="1:127" s="6" customFormat="1" ht="45" x14ac:dyDescent="0.25">
      <c r="A435" s="154"/>
      <c r="B435" s="176">
        <v>384</v>
      </c>
      <c r="C435" s="313" t="s">
        <v>938</v>
      </c>
      <c r="D435" s="312" t="s">
        <v>939</v>
      </c>
      <c r="E435" s="158">
        <v>25969</v>
      </c>
      <c r="F435" s="257">
        <v>3.25</v>
      </c>
      <c r="G435" s="168">
        <v>1</v>
      </c>
      <c r="H435" s="169"/>
      <c r="I435" s="169"/>
      <c r="J435" s="169"/>
      <c r="K435" s="195">
        <v>0.34499999999999997</v>
      </c>
      <c r="L435" s="180">
        <v>1.4</v>
      </c>
      <c r="M435" s="180">
        <v>1.68</v>
      </c>
      <c r="N435" s="180">
        <v>2.23</v>
      </c>
      <c r="O435" s="181">
        <v>2.57</v>
      </c>
      <c r="P435" s="311">
        <v>0</v>
      </c>
      <c r="Q435" s="196">
        <f t="shared" ref="Q435:Q455" si="1944">(P435*$E435*$F435*((1-$K435)+$K435*$L435*G435))</f>
        <v>0</v>
      </c>
      <c r="R435" s="196"/>
      <c r="S435" s="196"/>
      <c r="T435" s="196"/>
      <c r="U435" s="196"/>
      <c r="V435" s="182"/>
      <c r="W435" s="196">
        <f t="shared" ref="W435:W455" si="1945">(V435*$E435*$F435*((1-$K435)+$K435*$L435*$G435))</f>
        <v>0</v>
      </c>
      <c r="X435" s="196"/>
      <c r="Y435" s="196">
        <v>0</v>
      </c>
      <c r="Z435" s="196"/>
      <c r="AA435" s="196">
        <v>0</v>
      </c>
      <c r="AB435" s="182">
        <f t="shared" si="1938"/>
        <v>0</v>
      </c>
      <c r="AC435" s="182">
        <f t="shared" si="1938"/>
        <v>0</v>
      </c>
      <c r="AD435" s="182"/>
      <c r="AE435" s="196">
        <f t="shared" ref="AE435:AE455" si="1946">(AD435*$E435*$F435*((1-$K435)+$K435*$L435*$G435))</f>
        <v>0</v>
      </c>
      <c r="AF435" s="182"/>
      <c r="AG435" s="182"/>
      <c r="AH435" s="182"/>
      <c r="AI435" s="196">
        <f t="shared" ref="AI435:AI441" si="1947">(AH435*$E435*$F435*((1-$K435)+$K435*$L435*$G435))</f>
        <v>0</v>
      </c>
      <c r="AJ435" s="196"/>
      <c r="AK435" s="196"/>
      <c r="AL435" s="182"/>
      <c r="AM435" s="182"/>
      <c r="AN435" s="205"/>
      <c r="AO435" s="196">
        <f t="shared" ref="AO435:AO455" si="1948">(AN435*$E435*$F435*((1-$K435)+$K435*$L435*$G435))</f>
        <v>0</v>
      </c>
      <c r="AP435" s="182"/>
      <c r="AQ435" s="196">
        <f t="shared" ref="AQ435:AQ455" si="1949">(AP435*$E435*$F435*((1-$K435)+$K435*$L435*$G435))</f>
        <v>0</v>
      </c>
      <c r="AR435" s="182"/>
      <c r="AS435" s="196">
        <f t="shared" ref="AS435:AS455" si="1950">(AR435*$E435*$F435*((1-$K435)+$K435*$L435*$G435))</f>
        <v>0</v>
      </c>
      <c r="AT435" s="182"/>
      <c r="AU435" s="196">
        <f>(AT435*$E435*$F435*((1-$K435)+$K435*$M435*$G435))</f>
        <v>0</v>
      </c>
      <c r="AV435" s="188"/>
      <c r="AW435" s="196">
        <f>(AV435*$E435*$F435*((1-$K435)+$K435*$M435*$G435))</f>
        <v>0</v>
      </c>
      <c r="AX435" s="182"/>
      <c r="AY435" s="196">
        <f>(AX435*$E435*$F435*((1-$K435)+$K435*$M435*$G435))</f>
        <v>0</v>
      </c>
      <c r="AZ435" s="182"/>
      <c r="BA435" s="182"/>
      <c r="BB435" s="182"/>
      <c r="BC435" s="182"/>
      <c r="BD435" s="182"/>
      <c r="BE435" s="182"/>
      <c r="BF435" s="182"/>
      <c r="BG435" s="182"/>
      <c r="BH435" s="182"/>
      <c r="BI435" s="182"/>
      <c r="BJ435" s="182"/>
      <c r="BK435" s="182"/>
      <c r="BL435" s="182"/>
      <c r="BM435" s="182"/>
      <c r="BN435" s="182"/>
      <c r="BO435" s="196"/>
      <c r="BP435" s="182"/>
      <c r="BQ435" s="182"/>
      <c r="BR435" s="182"/>
      <c r="BS435" s="182"/>
      <c r="BT435" s="182"/>
      <c r="BU435" s="182"/>
      <c r="BV435" s="182"/>
      <c r="BW435" s="182"/>
      <c r="BX435" s="182"/>
      <c r="BY435" s="182"/>
      <c r="BZ435" s="182"/>
      <c r="CA435" s="187"/>
      <c r="CB435" s="182"/>
      <c r="CC435" s="196"/>
      <c r="CD435" s="182"/>
      <c r="CE435" s="182"/>
      <c r="CF435" s="182"/>
      <c r="CG435" s="182"/>
      <c r="CH435" s="182"/>
      <c r="CI435" s="182"/>
      <c r="CJ435" s="182"/>
      <c r="CK435" s="182"/>
      <c r="CL435" s="182"/>
      <c r="CM435" s="182"/>
      <c r="CN435" s="182"/>
      <c r="CO435" s="182"/>
      <c r="CP435" s="182"/>
      <c r="CQ435" s="182"/>
      <c r="CR435" s="182"/>
      <c r="CS435" s="182"/>
      <c r="CT435" s="182"/>
      <c r="CU435" s="182"/>
      <c r="CV435" s="182"/>
      <c r="CW435" s="182">
        <v>0</v>
      </c>
      <c r="CX435" s="182"/>
      <c r="CY435" s="182"/>
      <c r="CZ435" s="182"/>
      <c r="DA435" s="182">
        <v>0</v>
      </c>
      <c r="DB435" s="188"/>
      <c r="DC435" s="196"/>
      <c r="DD435" s="182"/>
      <c r="DE435" s="187"/>
      <c r="DF435" s="182"/>
      <c r="DG435" s="182"/>
      <c r="DH435" s="189"/>
      <c r="DI435" s="182"/>
      <c r="DJ435" s="182"/>
      <c r="DK435" s="182"/>
      <c r="DL435" s="182"/>
      <c r="DM435" s="182"/>
      <c r="DN435" s="182"/>
      <c r="DO435" s="196"/>
      <c r="DP435" s="187"/>
      <c r="DQ435" s="187"/>
      <c r="DR435" s="183">
        <f t="shared" si="1865"/>
        <v>0</v>
      </c>
      <c r="DS435" s="183">
        <f t="shared" si="1865"/>
        <v>0</v>
      </c>
      <c r="DT435" s="182">
        <v>0</v>
      </c>
      <c r="DU435" s="182">
        <v>0</v>
      </c>
      <c r="DV435" s="167">
        <f t="shared" si="1800"/>
        <v>0</v>
      </c>
      <c r="DW435" s="167">
        <f t="shared" si="1800"/>
        <v>0</v>
      </c>
    </row>
    <row r="436" spans="1:127" s="6" customFormat="1" ht="45" x14ac:dyDescent="0.25">
      <c r="A436" s="154"/>
      <c r="B436" s="176">
        <v>385</v>
      </c>
      <c r="C436" s="177" t="s">
        <v>940</v>
      </c>
      <c r="D436" s="259" t="s">
        <v>941</v>
      </c>
      <c r="E436" s="158">
        <v>25969</v>
      </c>
      <c r="F436" s="257">
        <v>0.25</v>
      </c>
      <c r="G436" s="168">
        <v>1</v>
      </c>
      <c r="H436" s="169"/>
      <c r="I436" s="169"/>
      <c r="J436" s="169"/>
      <c r="K436" s="195">
        <v>0.73209999999999997</v>
      </c>
      <c r="L436" s="180">
        <v>1.4</v>
      </c>
      <c r="M436" s="180">
        <v>1.68</v>
      </c>
      <c r="N436" s="180">
        <v>2.23</v>
      </c>
      <c r="O436" s="181">
        <v>2.57</v>
      </c>
      <c r="P436" s="311">
        <v>0</v>
      </c>
      <c r="Q436" s="196">
        <f t="shared" si="1944"/>
        <v>0</v>
      </c>
      <c r="R436" s="196"/>
      <c r="S436" s="196"/>
      <c r="T436" s="182"/>
      <c r="U436" s="196">
        <f>(T436*$E436*$F436*((1-$K436)+$K436*$L436*$G436))</f>
        <v>0</v>
      </c>
      <c r="V436" s="182"/>
      <c r="W436" s="196">
        <f t="shared" si="1945"/>
        <v>0</v>
      </c>
      <c r="X436" s="196"/>
      <c r="Y436" s="196">
        <v>0</v>
      </c>
      <c r="Z436" s="196"/>
      <c r="AA436" s="196">
        <v>0</v>
      </c>
      <c r="AB436" s="182">
        <f t="shared" si="1938"/>
        <v>0</v>
      </c>
      <c r="AC436" s="182">
        <f t="shared" si="1938"/>
        <v>0</v>
      </c>
      <c r="AD436" s="196"/>
      <c r="AE436" s="196">
        <f t="shared" si="1946"/>
        <v>0</v>
      </c>
      <c r="AF436" s="182"/>
      <c r="AG436" s="182"/>
      <c r="AH436" s="182"/>
      <c r="AI436" s="196">
        <f t="shared" si="1947"/>
        <v>0</v>
      </c>
      <c r="AJ436" s="196"/>
      <c r="AK436" s="196"/>
      <c r="AL436" s="182"/>
      <c r="AM436" s="182"/>
      <c r="AN436" s="205"/>
      <c r="AO436" s="196">
        <f t="shared" si="1948"/>
        <v>0</v>
      </c>
      <c r="AP436" s="182"/>
      <c r="AQ436" s="196">
        <f t="shared" si="1949"/>
        <v>0</v>
      </c>
      <c r="AR436" s="182"/>
      <c r="AS436" s="196">
        <f t="shared" si="1950"/>
        <v>0</v>
      </c>
      <c r="AT436" s="182"/>
      <c r="AU436" s="196">
        <f t="shared" ref="AU436:AU455" si="1951">(AT436*$E436*$F436*((1-$K436)+$K436*$M436*$G436))</f>
        <v>0</v>
      </c>
      <c r="AV436" s="188"/>
      <c r="AW436" s="196">
        <f t="shared" ref="AW436:AW455" si="1952">(AV436*$E436*$F436*((1-$K436)+$K436*$M436*$G436))</f>
        <v>0</v>
      </c>
      <c r="AX436" s="182"/>
      <c r="AY436" s="196">
        <f t="shared" ref="AY436:AY455" si="1953">(AX436*$E436*$F436*((1-$K436)+$K436*$M436*$G436))</f>
        <v>0</v>
      </c>
      <c r="AZ436" s="182"/>
      <c r="BA436" s="182"/>
      <c r="BB436" s="182"/>
      <c r="BC436" s="182"/>
      <c r="BD436" s="182"/>
      <c r="BE436" s="182"/>
      <c r="BF436" s="182"/>
      <c r="BG436" s="182"/>
      <c r="BH436" s="182"/>
      <c r="BI436" s="182"/>
      <c r="BJ436" s="182"/>
      <c r="BK436" s="182"/>
      <c r="BL436" s="182"/>
      <c r="BM436" s="182"/>
      <c r="BN436" s="182"/>
      <c r="BO436" s="196"/>
      <c r="BP436" s="182"/>
      <c r="BQ436" s="182"/>
      <c r="BR436" s="182"/>
      <c r="BS436" s="182"/>
      <c r="BT436" s="182"/>
      <c r="BU436" s="182"/>
      <c r="BV436" s="182"/>
      <c r="BW436" s="182"/>
      <c r="BX436" s="182"/>
      <c r="BY436" s="182"/>
      <c r="BZ436" s="182"/>
      <c r="CA436" s="187"/>
      <c r="CB436" s="182"/>
      <c r="CC436" s="196">
        <f>(CB436*$E436*$F436*((1-$K436)+$K436*$G436*$L436))</f>
        <v>0</v>
      </c>
      <c r="CD436" s="182"/>
      <c r="CE436" s="182"/>
      <c r="CF436" s="182"/>
      <c r="CG436" s="182"/>
      <c r="CH436" s="182"/>
      <c r="CI436" s="182"/>
      <c r="CJ436" s="182"/>
      <c r="CK436" s="182"/>
      <c r="CL436" s="182"/>
      <c r="CM436" s="182"/>
      <c r="CN436" s="182"/>
      <c r="CO436" s="182"/>
      <c r="CP436" s="182"/>
      <c r="CQ436" s="182"/>
      <c r="CR436" s="182"/>
      <c r="CS436" s="196">
        <f>(CR436*$E436*$F436*((1-$K436)+$K436*$G436*$L436))</f>
        <v>0</v>
      </c>
      <c r="CT436" s="182"/>
      <c r="CU436" s="182"/>
      <c r="CV436" s="182"/>
      <c r="CW436" s="182">
        <v>0</v>
      </c>
      <c r="CX436" s="182"/>
      <c r="CY436" s="182"/>
      <c r="CZ436" s="182"/>
      <c r="DA436" s="196">
        <v>0</v>
      </c>
      <c r="DB436" s="188"/>
      <c r="DC436" s="196">
        <f>(DB436*$E436*$F436*((1-$K436)+$K436*$M436*$G436))</f>
        <v>0</v>
      </c>
      <c r="DD436" s="182"/>
      <c r="DE436" s="187"/>
      <c r="DF436" s="182"/>
      <c r="DG436" s="182"/>
      <c r="DH436" s="189"/>
      <c r="DI436" s="182"/>
      <c r="DJ436" s="182"/>
      <c r="DK436" s="182"/>
      <c r="DL436" s="182"/>
      <c r="DM436" s="182"/>
      <c r="DN436" s="182"/>
      <c r="DO436" s="196">
        <f>(DN436*$E436*$F436*((1-$K436)+$K436*$G436*$O436))</f>
        <v>0</v>
      </c>
      <c r="DP436" s="187"/>
      <c r="DQ436" s="187"/>
      <c r="DR436" s="183">
        <f t="shared" si="1865"/>
        <v>0</v>
      </c>
      <c r="DS436" s="183">
        <f t="shared" si="1865"/>
        <v>0</v>
      </c>
      <c r="DT436" s="182">
        <v>0</v>
      </c>
      <c r="DU436" s="182">
        <v>0</v>
      </c>
      <c r="DV436" s="167">
        <f t="shared" si="1800"/>
        <v>0</v>
      </c>
      <c r="DW436" s="167">
        <f t="shared" si="1800"/>
        <v>0</v>
      </c>
    </row>
    <row r="437" spans="1:127" s="6" customFormat="1" ht="45" x14ac:dyDescent="0.25">
      <c r="A437" s="154"/>
      <c r="B437" s="176">
        <v>386</v>
      </c>
      <c r="C437" s="177" t="s">
        <v>942</v>
      </c>
      <c r="D437" s="259" t="s">
        <v>943</v>
      </c>
      <c r="E437" s="158">
        <v>25969</v>
      </c>
      <c r="F437" s="257">
        <v>0.33</v>
      </c>
      <c r="G437" s="168">
        <v>1</v>
      </c>
      <c r="H437" s="169"/>
      <c r="I437" s="169"/>
      <c r="J437" s="169"/>
      <c r="K437" s="195">
        <v>0.55979999999999996</v>
      </c>
      <c r="L437" s="180">
        <v>1.4</v>
      </c>
      <c r="M437" s="180">
        <v>1.68</v>
      </c>
      <c r="N437" s="180">
        <v>2.23</v>
      </c>
      <c r="O437" s="181">
        <v>2.57</v>
      </c>
      <c r="P437" s="311">
        <v>0</v>
      </c>
      <c r="Q437" s="196">
        <f t="shared" si="1944"/>
        <v>0</v>
      </c>
      <c r="R437" s="196"/>
      <c r="S437" s="196"/>
      <c r="T437" s="182"/>
      <c r="U437" s="196">
        <f>(T437*$E437*$F437*((1-$K437)+$K437*$L437*$G437))</f>
        <v>0</v>
      </c>
      <c r="V437" s="182"/>
      <c r="W437" s="196">
        <f t="shared" si="1945"/>
        <v>0</v>
      </c>
      <c r="X437" s="196"/>
      <c r="Y437" s="196">
        <v>0</v>
      </c>
      <c r="Z437" s="196"/>
      <c r="AA437" s="196">
        <v>0</v>
      </c>
      <c r="AB437" s="182">
        <f t="shared" si="1938"/>
        <v>0</v>
      </c>
      <c r="AC437" s="182">
        <f t="shared" si="1938"/>
        <v>0</v>
      </c>
      <c r="AD437" s="196"/>
      <c r="AE437" s="196">
        <f t="shared" si="1946"/>
        <v>0</v>
      </c>
      <c r="AF437" s="182"/>
      <c r="AG437" s="182"/>
      <c r="AH437" s="182"/>
      <c r="AI437" s="196">
        <f t="shared" si="1947"/>
        <v>0</v>
      </c>
      <c r="AJ437" s="196"/>
      <c r="AK437" s="196"/>
      <c r="AL437" s="182"/>
      <c r="AM437" s="182"/>
      <c r="AN437" s="205"/>
      <c r="AO437" s="196">
        <f t="shared" si="1948"/>
        <v>0</v>
      </c>
      <c r="AP437" s="182"/>
      <c r="AQ437" s="196">
        <f t="shared" si="1949"/>
        <v>0</v>
      </c>
      <c r="AR437" s="182"/>
      <c r="AS437" s="196">
        <f>(AR437*$E437*$F437*((1-$K437)+$K437*$L437*$G437))</f>
        <v>0</v>
      </c>
      <c r="AT437" s="182"/>
      <c r="AU437" s="196">
        <f t="shared" si="1951"/>
        <v>0</v>
      </c>
      <c r="AV437" s="188"/>
      <c r="AW437" s="196">
        <f t="shared" si="1952"/>
        <v>0</v>
      </c>
      <c r="AX437" s="182"/>
      <c r="AY437" s="196">
        <f t="shared" si="1953"/>
        <v>0</v>
      </c>
      <c r="AZ437" s="182"/>
      <c r="BA437" s="182"/>
      <c r="BB437" s="182"/>
      <c r="BC437" s="182"/>
      <c r="BD437" s="182"/>
      <c r="BE437" s="182"/>
      <c r="BF437" s="182"/>
      <c r="BG437" s="182"/>
      <c r="BH437" s="182"/>
      <c r="BI437" s="182"/>
      <c r="BJ437" s="182"/>
      <c r="BK437" s="182"/>
      <c r="BL437" s="182"/>
      <c r="BM437" s="182"/>
      <c r="BN437" s="182"/>
      <c r="BO437" s="196"/>
      <c r="BP437" s="182"/>
      <c r="BQ437" s="182"/>
      <c r="BR437" s="182"/>
      <c r="BS437" s="182"/>
      <c r="BT437" s="182"/>
      <c r="BU437" s="182"/>
      <c r="BV437" s="182"/>
      <c r="BW437" s="182"/>
      <c r="BX437" s="182"/>
      <c r="BY437" s="182"/>
      <c r="BZ437" s="182"/>
      <c r="CA437" s="187"/>
      <c r="CB437" s="182">
        <v>90</v>
      </c>
      <c r="CC437" s="196">
        <f>(CB437*$E437*$F437*((1-$K437)+$K437*$G437*$L437))</f>
        <v>943984.16085600003</v>
      </c>
      <c r="CD437" s="182">
        <v>18</v>
      </c>
      <c r="CE437" s="196">
        <f>(CD437*$E437*$F437*((1-$K437)+$K437*$G437*$L437))</f>
        <v>188796.83217119999</v>
      </c>
      <c r="CF437" s="182"/>
      <c r="CG437" s="182"/>
      <c r="CH437" s="182"/>
      <c r="CI437" s="182"/>
      <c r="CJ437" s="182"/>
      <c r="CK437" s="182"/>
      <c r="CL437" s="182"/>
      <c r="CM437" s="182"/>
      <c r="CN437" s="182"/>
      <c r="CO437" s="182"/>
      <c r="CP437" s="182"/>
      <c r="CQ437" s="182"/>
      <c r="CR437" s="182"/>
      <c r="CS437" s="196">
        <f>(CR437*$E437*$F437*((1-$K437)+$K437*$G437*$L437))</f>
        <v>0</v>
      </c>
      <c r="CT437" s="182"/>
      <c r="CU437" s="182"/>
      <c r="CV437" s="182"/>
      <c r="CW437" s="182">
        <v>0</v>
      </c>
      <c r="CX437" s="182"/>
      <c r="CY437" s="182"/>
      <c r="CZ437" s="182"/>
      <c r="DA437" s="196">
        <v>0</v>
      </c>
      <c r="DB437" s="188"/>
      <c r="DC437" s="196">
        <f>(DB437*$E437*$F437*((1-$K437)+$K437*$M437*$G437))</f>
        <v>0</v>
      </c>
      <c r="DD437" s="182"/>
      <c r="DE437" s="187"/>
      <c r="DF437" s="182"/>
      <c r="DG437" s="182"/>
      <c r="DH437" s="189"/>
      <c r="DI437" s="182"/>
      <c r="DJ437" s="182"/>
      <c r="DK437" s="182"/>
      <c r="DL437" s="182"/>
      <c r="DM437" s="182"/>
      <c r="DN437" s="182"/>
      <c r="DO437" s="196">
        <f>(DN437*$E437*$F437*((1-$K437)+$K437*$G437*$O437))</f>
        <v>0</v>
      </c>
      <c r="DP437" s="187"/>
      <c r="DQ437" s="187"/>
      <c r="DR437" s="183">
        <f t="shared" si="1865"/>
        <v>108</v>
      </c>
      <c r="DS437" s="183">
        <f t="shared" si="1865"/>
        <v>1132780.9930272</v>
      </c>
      <c r="DT437" s="182">
        <v>108</v>
      </c>
      <c r="DU437" s="182">
        <v>1132780.9930272</v>
      </c>
      <c r="DV437" s="167">
        <f t="shared" si="1800"/>
        <v>0</v>
      </c>
      <c r="DW437" s="167">
        <f t="shared" si="1800"/>
        <v>0</v>
      </c>
    </row>
    <row r="438" spans="1:127" s="6" customFormat="1" ht="45" x14ac:dyDescent="0.25">
      <c r="A438" s="154"/>
      <c r="B438" s="176">
        <v>387</v>
      </c>
      <c r="C438" s="177" t="s">
        <v>944</v>
      </c>
      <c r="D438" s="259" t="s">
        <v>945</v>
      </c>
      <c r="E438" s="158">
        <v>25969</v>
      </c>
      <c r="F438" s="257">
        <v>0.4</v>
      </c>
      <c r="G438" s="168">
        <v>1</v>
      </c>
      <c r="H438" s="169"/>
      <c r="I438" s="169"/>
      <c r="J438" s="169"/>
      <c r="K438" s="195">
        <v>0.46889999999999998</v>
      </c>
      <c r="L438" s="180">
        <v>1.4</v>
      </c>
      <c r="M438" s="180">
        <v>1.68</v>
      </c>
      <c r="N438" s="180">
        <v>2.23</v>
      </c>
      <c r="O438" s="181">
        <v>2.57</v>
      </c>
      <c r="P438" s="311">
        <v>0</v>
      </c>
      <c r="Q438" s="196">
        <f t="shared" si="1944"/>
        <v>0</v>
      </c>
      <c r="R438" s="196"/>
      <c r="S438" s="196"/>
      <c r="T438" s="182">
        <v>6</v>
      </c>
      <c r="U438" s="196">
        <f>(T438*$E438*$F438*((1-$K438)+$K438*$L438*$G438))</f>
        <v>74015.389536000002</v>
      </c>
      <c r="V438" s="182"/>
      <c r="W438" s="196">
        <f t="shared" si="1945"/>
        <v>0</v>
      </c>
      <c r="X438" s="196"/>
      <c r="Y438" s="196">
        <v>0</v>
      </c>
      <c r="Z438" s="196"/>
      <c r="AA438" s="196">
        <v>0</v>
      </c>
      <c r="AB438" s="182">
        <f t="shared" si="1938"/>
        <v>0</v>
      </c>
      <c r="AC438" s="182">
        <f t="shared" si="1938"/>
        <v>0</v>
      </c>
      <c r="AD438" s="196"/>
      <c r="AE438" s="196">
        <f t="shared" si="1946"/>
        <v>0</v>
      </c>
      <c r="AF438" s="182"/>
      <c r="AG438" s="182"/>
      <c r="AH438" s="182">
        <v>20</v>
      </c>
      <c r="AI438" s="196">
        <f>(AH438*$E438*$F438*((1-$K438)+$K438*$L438*$G438))</f>
        <v>246717.96511999998</v>
      </c>
      <c r="AJ438" s="196"/>
      <c r="AK438" s="196"/>
      <c r="AL438" s="182"/>
      <c r="AM438" s="182"/>
      <c r="AN438" s="205"/>
      <c r="AO438" s="196">
        <f t="shared" si="1948"/>
        <v>0</v>
      </c>
      <c r="AP438" s="182"/>
      <c r="AQ438" s="196">
        <f t="shared" si="1949"/>
        <v>0</v>
      </c>
      <c r="AR438" s="182"/>
      <c r="AS438" s="196">
        <f t="shared" si="1950"/>
        <v>0</v>
      </c>
      <c r="AT438" s="182"/>
      <c r="AU438" s="196">
        <f t="shared" si="1951"/>
        <v>0</v>
      </c>
      <c r="AV438" s="188"/>
      <c r="AW438" s="196">
        <f t="shared" si="1952"/>
        <v>0</v>
      </c>
      <c r="AX438" s="182"/>
      <c r="AY438" s="196">
        <f t="shared" si="1953"/>
        <v>0</v>
      </c>
      <c r="AZ438" s="182"/>
      <c r="BA438" s="182"/>
      <c r="BB438" s="182"/>
      <c r="BC438" s="182"/>
      <c r="BD438" s="182"/>
      <c r="BE438" s="182"/>
      <c r="BF438" s="182"/>
      <c r="BG438" s="182"/>
      <c r="BH438" s="182"/>
      <c r="BI438" s="182"/>
      <c r="BJ438" s="182"/>
      <c r="BK438" s="182"/>
      <c r="BL438" s="182"/>
      <c r="BM438" s="182"/>
      <c r="BN438" s="182"/>
      <c r="BO438" s="196"/>
      <c r="BP438" s="182"/>
      <c r="BQ438" s="182"/>
      <c r="BR438" s="182"/>
      <c r="BS438" s="182"/>
      <c r="BT438" s="182"/>
      <c r="BU438" s="182"/>
      <c r="BV438" s="182"/>
      <c r="BW438" s="182"/>
      <c r="BX438" s="182"/>
      <c r="BY438" s="182"/>
      <c r="BZ438" s="182"/>
      <c r="CA438" s="187"/>
      <c r="CB438" s="182"/>
      <c r="CC438" s="196">
        <f>(CB438*$E438*$F438*((1-$K438)+$K438*$G438*$L438))</f>
        <v>0</v>
      </c>
      <c r="CD438" s="182"/>
      <c r="CE438" s="182"/>
      <c r="CF438" s="182"/>
      <c r="CG438" s="182"/>
      <c r="CH438" s="182"/>
      <c r="CI438" s="182"/>
      <c r="CJ438" s="182"/>
      <c r="CK438" s="182"/>
      <c r="CL438" s="182"/>
      <c r="CM438" s="182"/>
      <c r="CN438" s="182"/>
      <c r="CO438" s="182"/>
      <c r="CP438" s="182"/>
      <c r="CQ438" s="182"/>
      <c r="CR438" s="182"/>
      <c r="CS438" s="196">
        <f>(CR438*$E438*$F438*((1-$K438)+$K438*$G438*$L438))</f>
        <v>0</v>
      </c>
      <c r="CT438" s="182"/>
      <c r="CU438" s="182"/>
      <c r="CV438" s="182"/>
      <c r="CW438" s="182">
        <v>0</v>
      </c>
      <c r="CX438" s="182"/>
      <c r="CY438" s="182"/>
      <c r="CZ438" s="182"/>
      <c r="DA438" s="196">
        <v>0</v>
      </c>
      <c r="DB438" s="188"/>
      <c r="DC438" s="196">
        <f>(DB438*$E438*$F438*((1-$K438)+$K438*$M438*$G438))</f>
        <v>0</v>
      </c>
      <c r="DD438" s="182"/>
      <c r="DE438" s="187"/>
      <c r="DF438" s="182"/>
      <c r="DG438" s="182"/>
      <c r="DH438" s="189"/>
      <c r="DI438" s="182"/>
      <c r="DJ438" s="182"/>
      <c r="DK438" s="182"/>
      <c r="DL438" s="182"/>
      <c r="DM438" s="182"/>
      <c r="DN438" s="182"/>
      <c r="DO438" s="196">
        <f>(DN438*$E438*$F438*((1-$K438)+$K438*$G438*$O438))</f>
        <v>0</v>
      </c>
      <c r="DP438" s="187"/>
      <c r="DQ438" s="187"/>
      <c r="DR438" s="183">
        <f t="shared" si="1865"/>
        <v>26</v>
      </c>
      <c r="DS438" s="183">
        <f t="shared" si="1865"/>
        <v>320733.35465599998</v>
      </c>
      <c r="DT438" s="182">
        <v>26</v>
      </c>
      <c r="DU438" s="182">
        <v>320733.35465599998</v>
      </c>
      <c r="DV438" s="167">
        <f t="shared" si="1800"/>
        <v>0</v>
      </c>
      <c r="DW438" s="167">
        <f t="shared" si="1800"/>
        <v>0</v>
      </c>
    </row>
    <row r="439" spans="1:127" s="6" customFormat="1" ht="45" x14ac:dyDescent="0.25">
      <c r="A439" s="154"/>
      <c r="B439" s="176">
        <v>388</v>
      </c>
      <c r="C439" s="310" t="s">
        <v>946</v>
      </c>
      <c r="D439" s="314" t="s">
        <v>947</v>
      </c>
      <c r="E439" s="158">
        <v>25969</v>
      </c>
      <c r="F439" s="315">
        <v>0.52</v>
      </c>
      <c r="G439" s="168">
        <v>1</v>
      </c>
      <c r="H439" s="169"/>
      <c r="I439" s="169"/>
      <c r="J439" s="169"/>
      <c r="K439" s="195">
        <v>0.35899999999999999</v>
      </c>
      <c r="L439" s="180">
        <v>1.4</v>
      </c>
      <c r="M439" s="180">
        <v>1.68</v>
      </c>
      <c r="N439" s="180">
        <v>2.23</v>
      </c>
      <c r="O439" s="181">
        <v>2.57</v>
      </c>
      <c r="P439" s="311">
        <v>0</v>
      </c>
      <c r="Q439" s="196">
        <f t="shared" si="1944"/>
        <v>0</v>
      </c>
      <c r="R439" s="196"/>
      <c r="S439" s="196"/>
      <c r="T439" s="196"/>
      <c r="U439" s="196">
        <f t="shared" ref="U439:U455" si="1954">(T439*$E439*$F439*((1-$K439)+$K439*$L439*$G439))</f>
        <v>0</v>
      </c>
      <c r="V439" s="182"/>
      <c r="W439" s="196">
        <f t="shared" si="1945"/>
        <v>0</v>
      </c>
      <c r="X439" s="196"/>
      <c r="Y439" s="196">
        <v>0</v>
      </c>
      <c r="Z439" s="196"/>
      <c r="AA439" s="196">
        <v>0</v>
      </c>
      <c r="AB439" s="182">
        <f t="shared" si="1938"/>
        <v>0</v>
      </c>
      <c r="AC439" s="182">
        <f t="shared" si="1938"/>
        <v>0</v>
      </c>
      <c r="AD439" s="182"/>
      <c r="AE439" s="196">
        <f t="shared" si="1946"/>
        <v>0</v>
      </c>
      <c r="AF439" s="182"/>
      <c r="AG439" s="182"/>
      <c r="AH439" s="182"/>
      <c r="AI439" s="196">
        <f t="shared" si="1947"/>
        <v>0</v>
      </c>
      <c r="AJ439" s="196"/>
      <c r="AK439" s="196"/>
      <c r="AL439" s="182"/>
      <c r="AM439" s="182"/>
      <c r="AN439" s="205"/>
      <c r="AO439" s="196">
        <f t="shared" si="1948"/>
        <v>0</v>
      </c>
      <c r="AP439" s="182"/>
      <c r="AQ439" s="196">
        <f t="shared" si="1949"/>
        <v>0</v>
      </c>
      <c r="AR439" s="182"/>
      <c r="AS439" s="196">
        <f t="shared" si="1950"/>
        <v>0</v>
      </c>
      <c r="AT439" s="182"/>
      <c r="AU439" s="196">
        <f t="shared" si="1951"/>
        <v>0</v>
      </c>
      <c r="AV439" s="188"/>
      <c r="AW439" s="196">
        <f t="shared" si="1952"/>
        <v>0</v>
      </c>
      <c r="AX439" s="182"/>
      <c r="AY439" s="196">
        <f t="shared" si="1953"/>
        <v>0</v>
      </c>
      <c r="AZ439" s="182"/>
      <c r="BA439" s="182"/>
      <c r="BB439" s="182"/>
      <c r="BC439" s="182"/>
      <c r="BD439" s="182"/>
      <c r="BE439" s="182"/>
      <c r="BF439" s="182"/>
      <c r="BG439" s="182"/>
      <c r="BH439" s="182"/>
      <c r="BI439" s="182"/>
      <c r="BJ439" s="182"/>
      <c r="BK439" s="182"/>
      <c r="BL439" s="182"/>
      <c r="BM439" s="182"/>
      <c r="BN439" s="182"/>
      <c r="BO439" s="196"/>
      <c r="BP439" s="182"/>
      <c r="BQ439" s="182"/>
      <c r="BR439" s="182"/>
      <c r="BS439" s="182"/>
      <c r="BT439" s="182"/>
      <c r="BU439" s="182"/>
      <c r="BV439" s="182"/>
      <c r="BW439" s="182"/>
      <c r="BX439" s="182"/>
      <c r="BY439" s="182"/>
      <c r="BZ439" s="182"/>
      <c r="CA439" s="187"/>
      <c r="CB439" s="182"/>
      <c r="CC439" s="196"/>
      <c r="CD439" s="182"/>
      <c r="CE439" s="182"/>
      <c r="CF439" s="182"/>
      <c r="CG439" s="182"/>
      <c r="CH439" s="182"/>
      <c r="CI439" s="182"/>
      <c r="CJ439" s="182"/>
      <c r="CK439" s="182"/>
      <c r="CL439" s="182"/>
      <c r="CM439" s="182"/>
      <c r="CN439" s="182"/>
      <c r="CO439" s="182"/>
      <c r="CP439" s="182"/>
      <c r="CQ439" s="182"/>
      <c r="CR439" s="182"/>
      <c r="CS439" s="196">
        <f>(CR439*$E439*$F439*((1-$K439)+$K439*$G439*$L439))</f>
        <v>0</v>
      </c>
      <c r="CT439" s="182"/>
      <c r="CU439" s="182"/>
      <c r="CV439" s="182"/>
      <c r="CW439" s="182">
        <v>0</v>
      </c>
      <c r="CX439" s="182"/>
      <c r="CY439" s="182"/>
      <c r="CZ439" s="182"/>
      <c r="DA439" s="196">
        <v>0</v>
      </c>
      <c r="DB439" s="188"/>
      <c r="DC439" s="196">
        <f t="shared" ref="DC439:DC455" si="1955">(DB439*$E439*$F439*((1-$K439)+$K439*$M439*$G439))</f>
        <v>0</v>
      </c>
      <c r="DD439" s="182"/>
      <c r="DE439" s="187"/>
      <c r="DF439" s="182"/>
      <c r="DG439" s="182"/>
      <c r="DH439" s="189"/>
      <c r="DI439" s="182"/>
      <c r="DJ439" s="182"/>
      <c r="DK439" s="182"/>
      <c r="DL439" s="182"/>
      <c r="DM439" s="182"/>
      <c r="DN439" s="182"/>
      <c r="DO439" s="196"/>
      <c r="DP439" s="187"/>
      <c r="DQ439" s="187"/>
      <c r="DR439" s="183">
        <f t="shared" si="1865"/>
        <v>0</v>
      </c>
      <c r="DS439" s="183">
        <f t="shared" si="1865"/>
        <v>0</v>
      </c>
      <c r="DT439" s="182">
        <v>0</v>
      </c>
      <c r="DU439" s="182">
        <v>0</v>
      </c>
      <c r="DV439" s="167">
        <f t="shared" si="1800"/>
        <v>0</v>
      </c>
      <c r="DW439" s="167">
        <f t="shared" si="1800"/>
        <v>0</v>
      </c>
    </row>
    <row r="440" spans="1:127" s="6" customFormat="1" ht="45" x14ac:dyDescent="0.25">
      <c r="A440" s="154"/>
      <c r="B440" s="176">
        <v>389</v>
      </c>
      <c r="C440" s="310" t="s">
        <v>948</v>
      </c>
      <c r="D440" s="314" t="s">
        <v>949</v>
      </c>
      <c r="E440" s="158">
        <v>25969</v>
      </c>
      <c r="F440" s="315">
        <v>0.65</v>
      </c>
      <c r="G440" s="168">
        <v>1</v>
      </c>
      <c r="H440" s="169"/>
      <c r="I440" s="169"/>
      <c r="J440" s="169"/>
      <c r="K440" s="195">
        <v>0.28649999999999998</v>
      </c>
      <c r="L440" s="180">
        <v>1.4</v>
      </c>
      <c r="M440" s="180">
        <v>1.68</v>
      </c>
      <c r="N440" s="180">
        <v>2.23</v>
      </c>
      <c r="O440" s="181">
        <v>2.57</v>
      </c>
      <c r="P440" s="311">
        <v>0</v>
      </c>
      <c r="Q440" s="196">
        <f t="shared" si="1944"/>
        <v>0</v>
      </c>
      <c r="R440" s="196"/>
      <c r="S440" s="196"/>
      <c r="T440" s="196"/>
      <c r="U440" s="196">
        <f t="shared" si="1954"/>
        <v>0</v>
      </c>
      <c r="V440" s="182"/>
      <c r="W440" s="196">
        <f t="shared" si="1945"/>
        <v>0</v>
      </c>
      <c r="X440" s="196"/>
      <c r="Y440" s="196">
        <v>0</v>
      </c>
      <c r="Z440" s="196"/>
      <c r="AA440" s="196">
        <v>0</v>
      </c>
      <c r="AB440" s="182">
        <f t="shared" si="1938"/>
        <v>0</v>
      </c>
      <c r="AC440" s="182">
        <f t="shared" si="1938"/>
        <v>0</v>
      </c>
      <c r="AD440" s="182"/>
      <c r="AE440" s="196">
        <f t="shared" si="1946"/>
        <v>0</v>
      </c>
      <c r="AF440" s="182"/>
      <c r="AG440" s="182"/>
      <c r="AH440" s="182"/>
      <c r="AI440" s="196">
        <f t="shared" si="1947"/>
        <v>0</v>
      </c>
      <c r="AJ440" s="196"/>
      <c r="AK440" s="196"/>
      <c r="AL440" s="182"/>
      <c r="AM440" s="182"/>
      <c r="AN440" s="205"/>
      <c r="AO440" s="196">
        <f t="shared" si="1948"/>
        <v>0</v>
      </c>
      <c r="AP440" s="182"/>
      <c r="AQ440" s="196">
        <f t="shared" si="1949"/>
        <v>0</v>
      </c>
      <c r="AR440" s="182"/>
      <c r="AS440" s="196">
        <f t="shared" si="1950"/>
        <v>0</v>
      </c>
      <c r="AT440" s="182"/>
      <c r="AU440" s="196">
        <f t="shared" si="1951"/>
        <v>0</v>
      </c>
      <c r="AV440" s="188"/>
      <c r="AW440" s="196">
        <f t="shared" si="1952"/>
        <v>0</v>
      </c>
      <c r="AX440" s="182"/>
      <c r="AY440" s="196">
        <f t="shared" si="1953"/>
        <v>0</v>
      </c>
      <c r="AZ440" s="182"/>
      <c r="BA440" s="182"/>
      <c r="BB440" s="182"/>
      <c r="BC440" s="182"/>
      <c r="BD440" s="182"/>
      <c r="BE440" s="182"/>
      <c r="BF440" s="182"/>
      <c r="BG440" s="182"/>
      <c r="BH440" s="182"/>
      <c r="BI440" s="182"/>
      <c r="BJ440" s="182"/>
      <c r="BK440" s="182"/>
      <c r="BL440" s="182"/>
      <c r="BM440" s="182"/>
      <c r="BN440" s="182"/>
      <c r="BO440" s="196"/>
      <c r="BP440" s="182"/>
      <c r="BQ440" s="182"/>
      <c r="BR440" s="182"/>
      <c r="BS440" s="182"/>
      <c r="BT440" s="182"/>
      <c r="BU440" s="182"/>
      <c r="BV440" s="182"/>
      <c r="BW440" s="182"/>
      <c r="BX440" s="182"/>
      <c r="BY440" s="182"/>
      <c r="BZ440" s="182"/>
      <c r="CA440" s="187"/>
      <c r="CB440" s="182"/>
      <c r="CC440" s="196"/>
      <c r="CD440" s="182"/>
      <c r="CE440" s="182"/>
      <c r="CF440" s="182"/>
      <c r="CG440" s="182"/>
      <c r="CH440" s="182"/>
      <c r="CI440" s="182"/>
      <c r="CJ440" s="182"/>
      <c r="CK440" s="182"/>
      <c r="CL440" s="182"/>
      <c r="CM440" s="182"/>
      <c r="CN440" s="182"/>
      <c r="CO440" s="182"/>
      <c r="CP440" s="182"/>
      <c r="CQ440" s="182"/>
      <c r="CR440" s="182"/>
      <c r="CS440" s="196"/>
      <c r="CT440" s="182"/>
      <c r="CU440" s="182"/>
      <c r="CV440" s="182"/>
      <c r="CW440" s="182">
        <v>0</v>
      </c>
      <c r="CX440" s="182"/>
      <c r="CY440" s="182"/>
      <c r="CZ440" s="182"/>
      <c r="DA440" s="196">
        <v>0</v>
      </c>
      <c r="DB440" s="188"/>
      <c r="DC440" s="196">
        <f t="shared" si="1955"/>
        <v>0</v>
      </c>
      <c r="DD440" s="182"/>
      <c r="DE440" s="187"/>
      <c r="DF440" s="182"/>
      <c r="DG440" s="182"/>
      <c r="DH440" s="189"/>
      <c r="DI440" s="182"/>
      <c r="DJ440" s="182"/>
      <c r="DK440" s="182"/>
      <c r="DL440" s="182"/>
      <c r="DM440" s="182"/>
      <c r="DN440" s="182"/>
      <c r="DO440" s="196"/>
      <c r="DP440" s="187"/>
      <c r="DQ440" s="187"/>
      <c r="DR440" s="183">
        <f t="shared" si="1865"/>
        <v>0</v>
      </c>
      <c r="DS440" s="183">
        <f t="shared" si="1865"/>
        <v>0</v>
      </c>
      <c r="DT440" s="182">
        <v>0</v>
      </c>
      <c r="DU440" s="182">
        <v>0</v>
      </c>
      <c r="DV440" s="167">
        <f t="shared" si="1800"/>
        <v>0</v>
      </c>
      <c r="DW440" s="167">
        <f t="shared" si="1800"/>
        <v>0</v>
      </c>
    </row>
    <row r="441" spans="1:127" s="6" customFormat="1" ht="45" x14ac:dyDescent="0.25">
      <c r="A441" s="154"/>
      <c r="B441" s="176">
        <v>390</v>
      </c>
      <c r="C441" s="310" t="s">
        <v>950</v>
      </c>
      <c r="D441" s="314" t="s">
        <v>951</v>
      </c>
      <c r="E441" s="158">
        <v>25969</v>
      </c>
      <c r="F441" s="315">
        <v>0.88</v>
      </c>
      <c r="G441" s="168">
        <v>1</v>
      </c>
      <c r="H441" s="169"/>
      <c r="I441" s="169"/>
      <c r="J441" s="169"/>
      <c r="K441" s="195">
        <v>0.2107</v>
      </c>
      <c r="L441" s="180">
        <v>1.4</v>
      </c>
      <c r="M441" s="180">
        <v>1.68</v>
      </c>
      <c r="N441" s="180">
        <v>2.23</v>
      </c>
      <c r="O441" s="181">
        <v>2.57</v>
      </c>
      <c r="P441" s="311">
        <v>0</v>
      </c>
      <c r="Q441" s="196">
        <f t="shared" si="1944"/>
        <v>0</v>
      </c>
      <c r="R441" s="196"/>
      <c r="S441" s="196"/>
      <c r="T441" s="196"/>
      <c r="U441" s="196">
        <f t="shared" si="1954"/>
        <v>0</v>
      </c>
      <c r="V441" s="182"/>
      <c r="W441" s="196">
        <f t="shared" si="1945"/>
        <v>0</v>
      </c>
      <c r="X441" s="196"/>
      <c r="Y441" s="196">
        <v>0</v>
      </c>
      <c r="Z441" s="196"/>
      <c r="AA441" s="196">
        <v>0</v>
      </c>
      <c r="AB441" s="182">
        <f t="shared" si="1938"/>
        <v>0</v>
      </c>
      <c r="AC441" s="182">
        <f t="shared" si="1938"/>
        <v>0</v>
      </c>
      <c r="AD441" s="182">
        <v>132</v>
      </c>
      <c r="AE441" s="196">
        <f>(AD441*$E441*$F441*((1-$K441)+$K441*$L441*$G441))</f>
        <v>3270794.6358911996</v>
      </c>
      <c r="AF441" s="182"/>
      <c r="AG441" s="182"/>
      <c r="AH441" s="182"/>
      <c r="AI441" s="196">
        <f t="shared" si="1947"/>
        <v>0</v>
      </c>
      <c r="AJ441" s="196"/>
      <c r="AK441" s="196"/>
      <c r="AL441" s="182"/>
      <c r="AM441" s="182"/>
      <c r="AN441" s="205"/>
      <c r="AO441" s="196">
        <f t="shared" si="1948"/>
        <v>0</v>
      </c>
      <c r="AP441" s="182"/>
      <c r="AQ441" s="196">
        <f t="shared" si="1949"/>
        <v>0</v>
      </c>
      <c r="AR441" s="182"/>
      <c r="AS441" s="196">
        <f t="shared" si="1950"/>
        <v>0</v>
      </c>
      <c r="AT441" s="182"/>
      <c r="AU441" s="196">
        <f t="shared" si="1951"/>
        <v>0</v>
      </c>
      <c r="AV441" s="188"/>
      <c r="AW441" s="196">
        <f t="shared" si="1952"/>
        <v>0</v>
      </c>
      <c r="AX441" s="182"/>
      <c r="AY441" s="196">
        <f t="shared" si="1953"/>
        <v>0</v>
      </c>
      <c r="AZ441" s="182"/>
      <c r="BA441" s="182"/>
      <c r="BB441" s="182"/>
      <c r="BC441" s="182"/>
      <c r="BD441" s="182"/>
      <c r="BE441" s="182"/>
      <c r="BF441" s="182"/>
      <c r="BG441" s="182"/>
      <c r="BH441" s="182"/>
      <c r="BI441" s="182"/>
      <c r="BJ441" s="182"/>
      <c r="BK441" s="182"/>
      <c r="BL441" s="182"/>
      <c r="BM441" s="182"/>
      <c r="BN441" s="182"/>
      <c r="BO441" s="196"/>
      <c r="BP441" s="182"/>
      <c r="BQ441" s="182"/>
      <c r="BR441" s="182"/>
      <c r="BS441" s="182"/>
      <c r="BT441" s="182"/>
      <c r="BU441" s="182"/>
      <c r="BV441" s="182"/>
      <c r="BW441" s="182"/>
      <c r="BX441" s="182"/>
      <c r="BY441" s="182"/>
      <c r="BZ441" s="182"/>
      <c r="CA441" s="187"/>
      <c r="CB441" s="182"/>
      <c r="CC441" s="196"/>
      <c r="CD441" s="182"/>
      <c r="CE441" s="182"/>
      <c r="CF441" s="182"/>
      <c r="CG441" s="182"/>
      <c r="CH441" s="182"/>
      <c r="CI441" s="182"/>
      <c r="CJ441" s="182"/>
      <c r="CK441" s="182"/>
      <c r="CL441" s="182"/>
      <c r="CM441" s="182"/>
      <c r="CN441" s="182"/>
      <c r="CO441" s="182"/>
      <c r="CP441" s="182"/>
      <c r="CQ441" s="182"/>
      <c r="CR441" s="182"/>
      <c r="CS441" s="196"/>
      <c r="CT441" s="182"/>
      <c r="CU441" s="182"/>
      <c r="CV441" s="182"/>
      <c r="CW441" s="182">
        <v>0</v>
      </c>
      <c r="CX441" s="182"/>
      <c r="CY441" s="182"/>
      <c r="CZ441" s="182"/>
      <c r="DA441" s="196">
        <v>0</v>
      </c>
      <c r="DB441" s="188"/>
      <c r="DC441" s="196">
        <f t="shared" si="1955"/>
        <v>0</v>
      </c>
      <c r="DD441" s="182"/>
      <c r="DE441" s="187"/>
      <c r="DF441" s="182"/>
      <c r="DG441" s="182"/>
      <c r="DH441" s="189"/>
      <c r="DI441" s="182"/>
      <c r="DJ441" s="182"/>
      <c r="DK441" s="182"/>
      <c r="DL441" s="182"/>
      <c r="DM441" s="182"/>
      <c r="DN441" s="182"/>
      <c r="DO441" s="196"/>
      <c r="DP441" s="187"/>
      <c r="DQ441" s="187"/>
      <c r="DR441" s="183">
        <f t="shared" si="1865"/>
        <v>132</v>
      </c>
      <c r="DS441" s="183">
        <f t="shared" si="1865"/>
        <v>3270794.6358911996</v>
      </c>
      <c r="DT441" s="182">
        <v>132</v>
      </c>
      <c r="DU441" s="182">
        <v>3270794.6358911996</v>
      </c>
      <c r="DV441" s="167">
        <f t="shared" si="1800"/>
        <v>0</v>
      </c>
      <c r="DW441" s="167">
        <f t="shared" si="1800"/>
        <v>0</v>
      </c>
    </row>
    <row r="442" spans="1:127" s="6" customFormat="1" ht="45" x14ac:dyDescent="0.25">
      <c r="A442" s="154"/>
      <c r="B442" s="176">
        <v>391</v>
      </c>
      <c r="C442" s="310" t="s">
        <v>952</v>
      </c>
      <c r="D442" s="314" t="s">
        <v>953</v>
      </c>
      <c r="E442" s="158">
        <v>25969</v>
      </c>
      <c r="F442" s="315">
        <v>1.0900000000000001</v>
      </c>
      <c r="G442" s="168">
        <v>1</v>
      </c>
      <c r="H442" s="169"/>
      <c r="I442" s="169"/>
      <c r="J442" s="169"/>
      <c r="K442" s="195">
        <v>0.17050000000000001</v>
      </c>
      <c r="L442" s="180">
        <v>1.4</v>
      </c>
      <c r="M442" s="180">
        <v>1.68</v>
      </c>
      <c r="N442" s="180">
        <v>2.23</v>
      </c>
      <c r="O442" s="181">
        <v>2.57</v>
      </c>
      <c r="P442" s="311">
        <v>0</v>
      </c>
      <c r="Q442" s="196">
        <f t="shared" si="1944"/>
        <v>0</v>
      </c>
      <c r="R442" s="196"/>
      <c r="S442" s="196"/>
      <c r="T442" s="196"/>
      <c r="U442" s="196">
        <f t="shared" si="1954"/>
        <v>0</v>
      </c>
      <c r="V442" s="182"/>
      <c r="W442" s="196">
        <f t="shared" si="1945"/>
        <v>0</v>
      </c>
      <c r="X442" s="196"/>
      <c r="Y442" s="196">
        <v>0</v>
      </c>
      <c r="Z442" s="196"/>
      <c r="AA442" s="196">
        <v>0</v>
      </c>
      <c r="AB442" s="182">
        <f t="shared" si="1938"/>
        <v>0</v>
      </c>
      <c r="AC442" s="182">
        <f t="shared" si="1938"/>
        <v>0</v>
      </c>
      <c r="AD442" s="182"/>
      <c r="AE442" s="196">
        <f t="shared" si="1946"/>
        <v>0</v>
      </c>
      <c r="AF442" s="182"/>
      <c r="AG442" s="182"/>
      <c r="AH442" s="182"/>
      <c r="AI442" s="196">
        <f>(AH442*$E442*$F442*((1-$K442)+$K442*$L442*$G442))</f>
        <v>0</v>
      </c>
      <c r="AJ442" s="196"/>
      <c r="AK442" s="196"/>
      <c r="AL442" s="182"/>
      <c r="AM442" s="182"/>
      <c r="AN442" s="205">
        <v>3</v>
      </c>
      <c r="AO442" s="196">
        <f t="shared" si="1948"/>
        <v>90710.080566000004</v>
      </c>
      <c r="AP442" s="182"/>
      <c r="AQ442" s="196">
        <f t="shared" si="1949"/>
        <v>0</v>
      </c>
      <c r="AR442" s="182"/>
      <c r="AS442" s="196">
        <f t="shared" si="1950"/>
        <v>0</v>
      </c>
      <c r="AT442" s="182"/>
      <c r="AU442" s="196">
        <f t="shared" si="1951"/>
        <v>0</v>
      </c>
      <c r="AV442" s="188"/>
      <c r="AW442" s="196">
        <f t="shared" si="1952"/>
        <v>0</v>
      </c>
      <c r="AX442" s="182"/>
      <c r="AY442" s="196">
        <f t="shared" si="1953"/>
        <v>0</v>
      </c>
      <c r="AZ442" s="182"/>
      <c r="BA442" s="182"/>
      <c r="BB442" s="182"/>
      <c r="BC442" s="182"/>
      <c r="BD442" s="182"/>
      <c r="BE442" s="182"/>
      <c r="BF442" s="182"/>
      <c r="BG442" s="182"/>
      <c r="BH442" s="182"/>
      <c r="BI442" s="182"/>
      <c r="BJ442" s="182"/>
      <c r="BK442" s="182"/>
      <c r="BL442" s="182"/>
      <c r="BM442" s="182"/>
      <c r="BN442" s="182"/>
      <c r="BO442" s="196"/>
      <c r="BP442" s="182"/>
      <c r="BQ442" s="182"/>
      <c r="BR442" s="182"/>
      <c r="BS442" s="182"/>
      <c r="BT442" s="182"/>
      <c r="BU442" s="182"/>
      <c r="BV442" s="182"/>
      <c r="BW442" s="182"/>
      <c r="BX442" s="182"/>
      <c r="BY442" s="182"/>
      <c r="BZ442" s="182"/>
      <c r="CA442" s="187"/>
      <c r="CB442" s="182"/>
      <c r="CC442" s="196"/>
      <c r="CD442" s="182"/>
      <c r="CE442" s="182"/>
      <c r="CF442" s="182"/>
      <c r="CG442" s="182"/>
      <c r="CH442" s="182"/>
      <c r="CI442" s="182"/>
      <c r="CJ442" s="182"/>
      <c r="CK442" s="182"/>
      <c r="CL442" s="182"/>
      <c r="CM442" s="182"/>
      <c r="CN442" s="182"/>
      <c r="CO442" s="182"/>
      <c r="CP442" s="182"/>
      <c r="CQ442" s="182"/>
      <c r="CR442" s="182"/>
      <c r="CS442" s="196"/>
      <c r="CT442" s="182"/>
      <c r="CU442" s="182"/>
      <c r="CV442" s="182"/>
      <c r="CW442" s="182">
        <v>0</v>
      </c>
      <c r="CX442" s="182"/>
      <c r="CY442" s="182"/>
      <c r="CZ442" s="182"/>
      <c r="DA442" s="196">
        <v>0</v>
      </c>
      <c r="DB442" s="188"/>
      <c r="DC442" s="196">
        <f t="shared" si="1955"/>
        <v>0</v>
      </c>
      <c r="DD442" s="182"/>
      <c r="DE442" s="187"/>
      <c r="DF442" s="182"/>
      <c r="DG442" s="182"/>
      <c r="DH442" s="189"/>
      <c r="DI442" s="182"/>
      <c r="DJ442" s="182"/>
      <c r="DK442" s="182"/>
      <c r="DL442" s="182"/>
      <c r="DM442" s="182"/>
      <c r="DN442" s="182"/>
      <c r="DO442" s="196"/>
      <c r="DP442" s="187"/>
      <c r="DQ442" s="187"/>
      <c r="DR442" s="183">
        <f t="shared" si="1865"/>
        <v>3</v>
      </c>
      <c r="DS442" s="183">
        <f t="shared" si="1865"/>
        <v>90710.080566000004</v>
      </c>
      <c r="DT442" s="182">
        <v>3</v>
      </c>
      <c r="DU442" s="182">
        <v>90710.080566000004</v>
      </c>
      <c r="DV442" s="167">
        <f t="shared" si="1800"/>
        <v>0</v>
      </c>
      <c r="DW442" s="167">
        <f t="shared" si="1800"/>
        <v>0</v>
      </c>
    </row>
    <row r="443" spans="1:127" s="6" customFormat="1" ht="45" x14ac:dyDescent="0.25">
      <c r="A443" s="154"/>
      <c r="B443" s="176">
        <v>392</v>
      </c>
      <c r="C443" s="310" t="s">
        <v>954</v>
      </c>
      <c r="D443" s="314" t="s">
        <v>955</v>
      </c>
      <c r="E443" s="158">
        <v>25969</v>
      </c>
      <c r="F443" s="315">
        <v>1.28</v>
      </c>
      <c r="G443" s="168">
        <v>1</v>
      </c>
      <c r="H443" s="169"/>
      <c r="I443" s="169"/>
      <c r="J443" s="169"/>
      <c r="K443" s="195">
        <v>0.1457</v>
      </c>
      <c r="L443" s="180">
        <v>1.4</v>
      </c>
      <c r="M443" s="180">
        <v>1.68</v>
      </c>
      <c r="N443" s="180">
        <v>2.23</v>
      </c>
      <c r="O443" s="181">
        <v>2.57</v>
      </c>
      <c r="P443" s="311">
        <v>6</v>
      </c>
      <c r="Q443" s="196">
        <f t="shared" si="1944"/>
        <v>211065.39509760003</v>
      </c>
      <c r="R443" s="196"/>
      <c r="S443" s="196"/>
      <c r="T443" s="196"/>
      <c r="U443" s="196">
        <f t="shared" si="1954"/>
        <v>0</v>
      </c>
      <c r="V443" s="182"/>
      <c r="W443" s="196">
        <f t="shared" si="1945"/>
        <v>0</v>
      </c>
      <c r="X443" s="196"/>
      <c r="Y443" s="196">
        <v>0</v>
      </c>
      <c r="Z443" s="196"/>
      <c r="AA443" s="196">
        <v>0</v>
      </c>
      <c r="AB443" s="182">
        <f t="shared" si="1938"/>
        <v>0</v>
      </c>
      <c r="AC443" s="182">
        <f t="shared" si="1938"/>
        <v>0</v>
      </c>
      <c r="AD443" s="182"/>
      <c r="AE443" s="196">
        <f t="shared" si="1946"/>
        <v>0</v>
      </c>
      <c r="AF443" s="182"/>
      <c r="AG443" s="182"/>
      <c r="AH443" s="182"/>
      <c r="AI443" s="196">
        <f t="shared" ref="AI443:AI454" si="1956">(AH443*$E443*$F443*((1-$K443)+$K443*$L443*$G443))</f>
        <v>0</v>
      </c>
      <c r="AJ443" s="196"/>
      <c r="AK443" s="196"/>
      <c r="AL443" s="182"/>
      <c r="AM443" s="182"/>
      <c r="AN443" s="205"/>
      <c r="AO443" s="196">
        <f t="shared" si="1948"/>
        <v>0</v>
      </c>
      <c r="AP443" s="182"/>
      <c r="AQ443" s="196">
        <f t="shared" si="1949"/>
        <v>0</v>
      </c>
      <c r="AR443" s="182"/>
      <c r="AS443" s="196">
        <f t="shared" si="1950"/>
        <v>0</v>
      </c>
      <c r="AT443" s="182"/>
      <c r="AU443" s="196">
        <f t="shared" si="1951"/>
        <v>0</v>
      </c>
      <c r="AV443" s="188"/>
      <c r="AW443" s="196">
        <f t="shared" si="1952"/>
        <v>0</v>
      </c>
      <c r="AX443" s="182"/>
      <c r="AY443" s="196">
        <f t="shared" si="1953"/>
        <v>0</v>
      </c>
      <c r="AZ443" s="182"/>
      <c r="BA443" s="182"/>
      <c r="BB443" s="182"/>
      <c r="BC443" s="182"/>
      <c r="BD443" s="182"/>
      <c r="BE443" s="182"/>
      <c r="BF443" s="182"/>
      <c r="BG443" s="182"/>
      <c r="BH443" s="182"/>
      <c r="BI443" s="182"/>
      <c r="BJ443" s="182"/>
      <c r="BK443" s="182"/>
      <c r="BL443" s="182"/>
      <c r="BM443" s="182"/>
      <c r="BN443" s="182"/>
      <c r="BO443" s="196"/>
      <c r="BP443" s="182"/>
      <c r="BQ443" s="182"/>
      <c r="BR443" s="182"/>
      <c r="BS443" s="182"/>
      <c r="BT443" s="182"/>
      <c r="BU443" s="182"/>
      <c r="BV443" s="182"/>
      <c r="BW443" s="182"/>
      <c r="BX443" s="182"/>
      <c r="BY443" s="182"/>
      <c r="BZ443" s="182"/>
      <c r="CA443" s="187"/>
      <c r="CB443" s="182"/>
      <c r="CC443" s="196"/>
      <c r="CD443" s="182"/>
      <c r="CE443" s="182"/>
      <c r="CF443" s="182"/>
      <c r="CG443" s="182"/>
      <c r="CH443" s="182"/>
      <c r="CI443" s="182"/>
      <c r="CJ443" s="182"/>
      <c r="CK443" s="182"/>
      <c r="CL443" s="182"/>
      <c r="CM443" s="182"/>
      <c r="CN443" s="182"/>
      <c r="CO443" s="182"/>
      <c r="CP443" s="182"/>
      <c r="CQ443" s="182"/>
      <c r="CR443" s="182"/>
      <c r="CS443" s="196"/>
      <c r="CT443" s="182"/>
      <c r="CU443" s="182"/>
      <c r="CV443" s="182"/>
      <c r="CW443" s="182">
        <v>0</v>
      </c>
      <c r="CX443" s="182"/>
      <c r="CY443" s="182"/>
      <c r="CZ443" s="182"/>
      <c r="DA443" s="196">
        <v>0</v>
      </c>
      <c r="DB443" s="188">
        <v>36</v>
      </c>
      <c r="DC443" s="196">
        <f t="shared" si="1955"/>
        <v>1315210.9659955201</v>
      </c>
      <c r="DD443" s="182"/>
      <c r="DE443" s="187"/>
      <c r="DF443" s="182"/>
      <c r="DG443" s="182"/>
      <c r="DH443" s="189"/>
      <c r="DI443" s="182"/>
      <c r="DJ443" s="182"/>
      <c r="DK443" s="182"/>
      <c r="DL443" s="182"/>
      <c r="DM443" s="182"/>
      <c r="DN443" s="182"/>
      <c r="DO443" s="196"/>
      <c r="DP443" s="187"/>
      <c r="DQ443" s="187"/>
      <c r="DR443" s="183">
        <f t="shared" si="1865"/>
        <v>42</v>
      </c>
      <c r="DS443" s="183">
        <f t="shared" si="1865"/>
        <v>1526276.3610931202</v>
      </c>
      <c r="DT443" s="182">
        <v>42</v>
      </c>
      <c r="DU443" s="182">
        <v>1526276.3610931202</v>
      </c>
      <c r="DV443" s="167">
        <f t="shared" si="1800"/>
        <v>0</v>
      </c>
      <c r="DW443" s="167">
        <f t="shared" si="1800"/>
        <v>0</v>
      </c>
    </row>
    <row r="444" spans="1:127" s="6" customFormat="1" ht="45" x14ac:dyDescent="0.25">
      <c r="A444" s="154"/>
      <c r="B444" s="176">
        <v>393</v>
      </c>
      <c r="C444" s="310" t="s">
        <v>956</v>
      </c>
      <c r="D444" s="314" t="s">
        <v>957</v>
      </c>
      <c r="E444" s="158">
        <v>25969</v>
      </c>
      <c r="F444" s="315">
        <v>1.58</v>
      </c>
      <c r="G444" s="168">
        <v>1</v>
      </c>
      <c r="H444" s="169"/>
      <c r="I444" s="169"/>
      <c r="J444" s="169"/>
      <c r="K444" s="195">
        <v>0.1177</v>
      </c>
      <c r="L444" s="180">
        <v>1.4</v>
      </c>
      <c r="M444" s="180">
        <v>1.68</v>
      </c>
      <c r="N444" s="180">
        <v>2.23</v>
      </c>
      <c r="O444" s="181">
        <v>2.57</v>
      </c>
      <c r="P444" s="311">
        <v>15</v>
      </c>
      <c r="Q444" s="196">
        <f t="shared" si="1944"/>
        <v>644441.4063240001</v>
      </c>
      <c r="R444" s="196"/>
      <c r="S444" s="196"/>
      <c r="T444" s="196"/>
      <c r="U444" s="196">
        <f t="shared" si="1954"/>
        <v>0</v>
      </c>
      <c r="V444" s="182"/>
      <c r="W444" s="196">
        <f t="shared" si="1945"/>
        <v>0</v>
      </c>
      <c r="X444" s="196"/>
      <c r="Y444" s="196">
        <v>0</v>
      </c>
      <c r="Z444" s="196"/>
      <c r="AA444" s="196">
        <v>0</v>
      </c>
      <c r="AB444" s="182">
        <f t="shared" si="1938"/>
        <v>0</v>
      </c>
      <c r="AC444" s="182">
        <f t="shared" si="1938"/>
        <v>0</v>
      </c>
      <c r="AD444" s="182"/>
      <c r="AE444" s="196">
        <f t="shared" si="1946"/>
        <v>0</v>
      </c>
      <c r="AF444" s="182"/>
      <c r="AG444" s="182"/>
      <c r="AH444" s="182"/>
      <c r="AI444" s="196">
        <f t="shared" si="1956"/>
        <v>0</v>
      </c>
      <c r="AJ444" s="196"/>
      <c r="AK444" s="196"/>
      <c r="AL444" s="182"/>
      <c r="AM444" s="182"/>
      <c r="AN444" s="205">
        <v>25</v>
      </c>
      <c r="AO444" s="196">
        <f t="shared" si="1948"/>
        <v>1074069.0105399999</v>
      </c>
      <c r="AP444" s="182"/>
      <c r="AQ444" s="196">
        <f t="shared" si="1949"/>
        <v>0</v>
      </c>
      <c r="AR444" s="182"/>
      <c r="AS444" s="196">
        <f t="shared" si="1950"/>
        <v>0</v>
      </c>
      <c r="AT444" s="182"/>
      <c r="AU444" s="196">
        <f t="shared" si="1951"/>
        <v>0</v>
      </c>
      <c r="AV444" s="188"/>
      <c r="AW444" s="196">
        <f t="shared" si="1952"/>
        <v>0</v>
      </c>
      <c r="AX444" s="182"/>
      <c r="AY444" s="196">
        <f t="shared" si="1953"/>
        <v>0</v>
      </c>
      <c r="AZ444" s="182"/>
      <c r="BA444" s="182"/>
      <c r="BB444" s="182"/>
      <c r="BC444" s="182"/>
      <c r="BD444" s="182"/>
      <c r="BE444" s="182"/>
      <c r="BF444" s="182"/>
      <c r="BG444" s="182"/>
      <c r="BH444" s="182"/>
      <c r="BI444" s="182"/>
      <c r="BJ444" s="182"/>
      <c r="BK444" s="182"/>
      <c r="BL444" s="182"/>
      <c r="BM444" s="182"/>
      <c r="BN444" s="182"/>
      <c r="BO444" s="196"/>
      <c r="BP444" s="182"/>
      <c r="BQ444" s="182"/>
      <c r="BR444" s="182"/>
      <c r="BS444" s="182"/>
      <c r="BT444" s="182"/>
      <c r="BU444" s="182"/>
      <c r="BV444" s="182"/>
      <c r="BW444" s="182"/>
      <c r="BX444" s="182"/>
      <c r="BY444" s="182"/>
      <c r="BZ444" s="182"/>
      <c r="CA444" s="187"/>
      <c r="CB444" s="182"/>
      <c r="CC444" s="196"/>
      <c r="CD444" s="182"/>
      <c r="CE444" s="182"/>
      <c r="CF444" s="182"/>
      <c r="CG444" s="182"/>
      <c r="CH444" s="182"/>
      <c r="CI444" s="182"/>
      <c r="CJ444" s="182"/>
      <c r="CK444" s="182"/>
      <c r="CL444" s="182"/>
      <c r="CM444" s="182"/>
      <c r="CN444" s="182"/>
      <c r="CO444" s="182"/>
      <c r="CP444" s="182"/>
      <c r="CQ444" s="182"/>
      <c r="CR444" s="182"/>
      <c r="CS444" s="196"/>
      <c r="CT444" s="182"/>
      <c r="CU444" s="182"/>
      <c r="CV444" s="182"/>
      <c r="CW444" s="182">
        <v>0</v>
      </c>
      <c r="CX444" s="182"/>
      <c r="CY444" s="182"/>
      <c r="CZ444" s="182"/>
      <c r="DA444" s="196">
        <v>0</v>
      </c>
      <c r="DB444" s="188"/>
      <c r="DC444" s="196">
        <f t="shared" si="1955"/>
        <v>0</v>
      </c>
      <c r="DD444" s="182"/>
      <c r="DE444" s="187"/>
      <c r="DF444" s="182"/>
      <c r="DG444" s="182"/>
      <c r="DH444" s="189"/>
      <c r="DI444" s="182"/>
      <c r="DJ444" s="182"/>
      <c r="DK444" s="182"/>
      <c r="DL444" s="182"/>
      <c r="DM444" s="182"/>
      <c r="DN444" s="182"/>
      <c r="DO444" s="196"/>
      <c r="DP444" s="187"/>
      <c r="DQ444" s="187"/>
      <c r="DR444" s="183">
        <f t="shared" si="1865"/>
        <v>40</v>
      </c>
      <c r="DS444" s="183">
        <f t="shared" si="1865"/>
        <v>1718510.416864</v>
      </c>
      <c r="DT444" s="182">
        <v>40</v>
      </c>
      <c r="DU444" s="182">
        <v>1718510.416864</v>
      </c>
      <c r="DV444" s="167">
        <f t="shared" si="1800"/>
        <v>0</v>
      </c>
      <c r="DW444" s="167">
        <f t="shared" si="1800"/>
        <v>0</v>
      </c>
    </row>
    <row r="445" spans="1:127" s="6" customFormat="1" ht="45" x14ac:dyDescent="0.25">
      <c r="A445" s="154"/>
      <c r="B445" s="176">
        <v>394</v>
      </c>
      <c r="C445" s="310" t="s">
        <v>958</v>
      </c>
      <c r="D445" s="314" t="s">
        <v>959</v>
      </c>
      <c r="E445" s="158">
        <v>25969</v>
      </c>
      <c r="F445" s="315">
        <v>1.79</v>
      </c>
      <c r="G445" s="168">
        <v>1</v>
      </c>
      <c r="H445" s="169"/>
      <c r="I445" s="169"/>
      <c r="J445" s="169"/>
      <c r="K445" s="195">
        <v>0.10390000000000001</v>
      </c>
      <c r="L445" s="180">
        <v>1.4</v>
      </c>
      <c r="M445" s="180">
        <v>1.68</v>
      </c>
      <c r="N445" s="180">
        <v>2.23</v>
      </c>
      <c r="O445" s="181">
        <v>2.57</v>
      </c>
      <c r="P445" s="311">
        <v>3</v>
      </c>
      <c r="Q445" s="196">
        <f t="shared" si="1944"/>
        <v>145249.21870679999</v>
      </c>
      <c r="R445" s="196"/>
      <c r="S445" s="196"/>
      <c r="T445" s="196"/>
      <c r="U445" s="196">
        <f t="shared" si="1954"/>
        <v>0</v>
      </c>
      <c r="V445" s="182"/>
      <c r="W445" s="196">
        <f t="shared" si="1945"/>
        <v>0</v>
      </c>
      <c r="X445" s="196"/>
      <c r="Y445" s="196">
        <v>0</v>
      </c>
      <c r="Z445" s="196"/>
      <c r="AA445" s="196">
        <v>0</v>
      </c>
      <c r="AB445" s="182">
        <f t="shared" si="1938"/>
        <v>0</v>
      </c>
      <c r="AC445" s="182">
        <f t="shared" si="1938"/>
        <v>0</v>
      </c>
      <c r="AD445" s="182">
        <v>62</v>
      </c>
      <c r="AE445" s="196">
        <f t="shared" si="1946"/>
        <v>3001817.1866072002</v>
      </c>
      <c r="AF445" s="182"/>
      <c r="AG445" s="182"/>
      <c r="AH445" s="182"/>
      <c r="AI445" s="196">
        <f t="shared" si="1956"/>
        <v>0</v>
      </c>
      <c r="AJ445" s="196"/>
      <c r="AK445" s="196"/>
      <c r="AL445" s="182"/>
      <c r="AM445" s="182"/>
      <c r="AN445" s="205"/>
      <c r="AO445" s="196">
        <f t="shared" si="1948"/>
        <v>0</v>
      </c>
      <c r="AP445" s="182"/>
      <c r="AQ445" s="196">
        <f t="shared" si="1949"/>
        <v>0</v>
      </c>
      <c r="AR445" s="182"/>
      <c r="AS445" s="196">
        <f t="shared" si="1950"/>
        <v>0</v>
      </c>
      <c r="AT445" s="182"/>
      <c r="AU445" s="196">
        <f t="shared" si="1951"/>
        <v>0</v>
      </c>
      <c r="AV445" s="188"/>
      <c r="AW445" s="196">
        <f t="shared" si="1952"/>
        <v>0</v>
      </c>
      <c r="AX445" s="182"/>
      <c r="AY445" s="196">
        <f t="shared" si="1953"/>
        <v>0</v>
      </c>
      <c r="AZ445" s="182"/>
      <c r="BA445" s="182"/>
      <c r="BB445" s="182"/>
      <c r="BC445" s="182"/>
      <c r="BD445" s="182"/>
      <c r="BE445" s="182"/>
      <c r="BF445" s="182"/>
      <c r="BG445" s="182"/>
      <c r="BH445" s="182"/>
      <c r="BI445" s="182"/>
      <c r="BJ445" s="182"/>
      <c r="BK445" s="182"/>
      <c r="BL445" s="182"/>
      <c r="BM445" s="182"/>
      <c r="BN445" s="182"/>
      <c r="BO445" s="196"/>
      <c r="BP445" s="182"/>
      <c r="BQ445" s="182"/>
      <c r="BR445" s="182"/>
      <c r="BS445" s="182"/>
      <c r="BT445" s="182"/>
      <c r="BU445" s="182"/>
      <c r="BV445" s="182"/>
      <c r="BW445" s="182"/>
      <c r="BX445" s="182"/>
      <c r="BY445" s="182"/>
      <c r="BZ445" s="182"/>
      <c r="CA445" s="187"/>
      <c r="CB445" s="182"/>
      <c r="CC445" s="196"/>
      <c r="CD445" s="182"/>
      <c r="CE445" s="182"/>
      <c r="CF445" s="182"/>
      <c r="CG445" s="182"/>
      <c r="CH445" s="182"/>
      <c r="CI445" s="182"/>
      <c r="CJ445" s="182"/>
      <c r="CK445" s="182"/>
      <c r="CL445" s="182"/>
      <c r="CM445" s="182"/>
      <c r="CN445" s="182"/>
      <c r="CO445" s="182"/>
      <c r="CP445" s="182"/>
      <c r="CQ445" s="182"/>
      <c r="CR445" s="182"/>
      <c r="CS445" s="196"/>
      <c r="CT445" s="182"/>
      <c r="CU445" s="182"/>
      <c r="CV445" s="182"/>
      <c r="CW445" s="182">
        <v>0</v>
      </c>
      <c r="CX445" s="182"/>
      <c r="CY445" s="182"/>
      <c r="CZ445" s="182"/>
      <c r="DA445" s="196">
        <v>0</v>
      </c>
      <c r="DB445" s="188">
        <v>98</v>
      </c>
      <c r="DC445" s="196">
        <f t="shared" si="1955"/>
        <v>4877335.8928509606</v>
      </c>
      <c r="DD445" s="182"/>
      <c r="DE445" s="187"/>
      <c r="DF445" s="182"/>
      <c r="DG445" s="182"/>
      <c r="DH445" s="189"/>
      <c r="DI445" s="182"/>
      <c r="DJ445" s="182"/>
      <c r="DK445" s="182"/>
      <c r="DL445" s="182"/>
      <c r="DM445" s="182"/>
      <c r="DN445" s="182"/>
      <c r="DO445" s="196"/>
      <c r="DP445" s="187"/>
      <c r="DQ445" s="187"/>
      <c r="DR445" s="183">
        <f t="shared" si="1865"/>
        <v>163</v>
      </c>
      <c r="DS445" s="183">
        <f t="shared" si="1865"/>
        <v>8024402.2981649609</v>
      </c>
      <c r="DT445" s="182">
        <v>163</v>
      </c>
      <c r="DU445" s="182">
        <v>8024402.2981649609</v>
      </c>
      <c r="DV445" s="167">
        <f t="shared" si="1800"/>
        <v>0</v>
      </c>
      <c r="DW445" s="167">
        <f t="shared" si="1800"/>
        <v>0</v>
      </c>
    </row>
    <row r="446" spans="1:127" s="6" customFormat="1" ht="45" x14ac:dyDescent="0.25">
      <c r="A446" s="154"/>
      <c r="B446" s="176">
        <v>395</v>
      </c>
      <c r="C446" s="310" t="s">
        <v>960</v>
      </c>
      <c r="D446" s="314" t="s">
        <v>961</v>
      </c>
      <c r="E446" s="158">
        <v>25969</v>
      </c>
      <c r="F446" s="315">
        <v>2.21</v>
      </c>
      <c r="G446" s="168">
        <v>1</v>
      </c>
      <c r="H446" s="169"/>
      <c r="I446" s="169"/>
      <c r="J446" s="169"/>
      <c r="K446" s="195">
        <v>8.43E-2</v>
      </c>
      <c r="L446" s="180">
        <v>1.4</v>
      </c>
      <c r="M446" s="180">
        <v>1.68</v>
      </c>
      <c r="N446" s="180">
        <v>2.23</v>
      </c>
      <c r="O446" s="181">
        <v>2.57</v>
      </c>
      <c r="P446" s="311">
        <v>20</v>
      </c>
      <c r="Q446" s="196">
        <f t="shared" si="1944"/>
        <v>1186534.6208560001</v>
      </c>
      <c r="R446" s="196"/>
      <c r="S446" s="196"/>
      <c r="T446" s="196"/>
      <c r="U446" s="196">
        <f t="shared" si="1954"/>
        <v>0</v>
      </c>
      <c r="V446" s="182"/>
      <c r="W446" s="196">
        <f t="shared" si="1945"/>
        <v>0</v>
      </c>
      <c r="X446" s="196"/>
      <c r="Y446" s="196">
        <v>0</v>
      </c>
      <c r="Z446" s="196"/>
      <c r="AA446" s="196">
        <v>0</v>
      </c>
      <c r="AB446" s="182">
        <f t="shared" si="1938"/>
        <v>0</v>
      </c>
      <c r="AC446" s="182">
        <f t="shared" si="1938"/>
        <v>0</v>
      </c>
      <c r="AD446" s="182"/>
      <c r="AE446" s="196">
        <f t="shared" si="1946"/>
        <v>0</v>
      </c>
      <c r="AF446" s="182"/>
      <c r="AG446" s="182"/>
      <c r="AH446" s="182"/>
      <c r="AI446" s="196">
        <f t="shared" si="1956"/>
        <v>0</v>
      </c>
      <c r="AJ446" s="196"/>
      <c r="AK446" s="196"/>
      <c r="AL446" s="182"/>
      <c r="AM446" s="182"/>
      <c r="AN446" s="205"/>
      <c r="AO446" s="196">
        <f t="shared" si="1948"/>
        <v>0</v>
      </c>
      <c r="AP446" s="182"/>
      <c r="AQ446" s="196">
        <f t="shared" si="1949"/>
        <v>0</v>
      </c>
      <c r="AR446" s="182"/>
      <c r="AS446" s="196">
        <f t="shared" si="1950"/>
        <v>0</v>
      </c>
      <c r="AT446" s="182"/>
      <c r="AU446" s="196">
        <f t="shared" si="1951"/>
        <v>0</v>
      </c>
      <c r="AV446" s="188"/>
      <c r="AW446" s="196">
        <f t="shared" si="1952"/>
        <v>0</v>
      </c>
      <c r="AX446" s="182"/>
      <c r="AY446" s="196">
        <f t="shared" si="1953"/>
        <v>0</v>
      </c>
      <c r="AZ446" s="182"/>
      <c r="BA446" s="182"/>
      <c r="BB446" s="182"/>
      <c r="BC446" s="182"/>
      <c r="BD446" s="182"/>
      <c r="BE446" s="182"/>
      <c r="BF446" s="182"/>
      <c r="BG446" s="182"/>
      <c r="BH446" s="182"/>
      <c r="BI446" s="182"/>
      <c r="BJ446" s="182"/>
      <c r="BK446" s="182"/>
      <c r="BL446" s="182"/>
      <c r="BM446" s="182"/>
      <c r="BN446" s="182"/>
      <c r="BO446" s="196"/>
      <c r="BP446" s="182"/>
      <c r="BQ446" s="182"/>
      <c r="BR446" s="182"/>
      <c r="BS446" s="182"/>
      <c r="BT446" s="182"/>
      <c r="BU446" s="182"/>
      <c r="BV446" s="182"/>
      <c r="BW446" s="182"/>
      <c r="BX446" s="182"/>
      <c r="BY446" s="182"/>
      <c r="BZ446" s="182"/>
      <c r="CA446" s="187"/>
      <c r="CB446" s="182"/>
      <c r="CC446" s="196"/>
      <c r="CD446" s="182"/>
      <c r="CE446" s="182"/>
      <c r="CF446" s="182"/>
      <c r="CG446" s="182"/>
      <c r="CH446" s="182"/>
      <c r="CI446" s="182"/>
      <c r="CJ446" s="182"/>
      <c r="CK446" s="182"/>
      <c r="CL446" s="182"/>
      <c r="CM446" s="182"/>
      <c r="CN446" s="182"/>
      <c r="CO446" s="182"/>
      <c r="CP446" s="182"/>
      <c r="CQ446" s="182"/>
      <c r="CR446" s="182"/>
      <c r="CS446" s="196"/>
      <c r="CT446" s="182"/>
      <c r="CU446" s="182"/>
      <c r="CV446" s="182"/>
      <c r="CW446" s="182">
        <v>0</v>
      </c>
      <c r="CX446" s="182"/>
      <c r="CY446" s="182"/>
      <c r="CZ446" s="182"/>
      <c r="DA446" s="196">
        <v>0</v>
      </c>
      <c r="DB446" s="188"/>
      <c r="DC446" s="196">
        <f>(DB446*$E446*$F446*((1-$K446)+$K446*$M446*$G446))</f>
        <v>0</v>
      </c>
      <c r="DD446" s="182"/>
      <c r="DE446" s="187"/>
      <c r="DF446" s="182"/>
      <c r="DG446" s="182"/>
      <c r="DH446" s="189"/>
      <c r="DI446" s="182"/>
      <c r="DJ446" s="182"/>
      <c r="DK446" s="182"/>
      <c r="DL446" s="182"/>
      <c r="DM446" s="182"/>
      <c r="DN446" s="182"/>
      <c r="DO446" s="196"/>
      <c r="DP446" s="187"/>
      <c r="DQ446" s="187"/>
      <c r="DR446" s="183">
        <f t="shared" si="1865"/>
        <v>20</v>
      </c>
      <c r="DS446" s="183">
        <f t="shared" si="1865"/>
        <v>1186534.6208560001</v>
      </c>
      <c r="DT446" s="182">
        <v>20</v>
      </c>
      <c r="DU446" s="182">
        <v>1186534.6208560001</v>
      </c>
      <c r="DV446" s="167">
        <f t="shared" si="1800"/>
        <v>0</v>
      </c>
      <c r="DW446" s="167">
        <f t="shared" si="1800"/>
        <v>0</v>
      </c>
    </row>
    <row r="447" spans="1:127" s="6" customFormat="1" ht="45" x14ac:dyDescent="0.25">
      <c r="A447" s="154"/>
      <c r="B447" s="176">
        <v>396</v>
      </c>
      <c r="C447" s="310" t="s">
        <v>962</v>
      </c>
      <c r="D447" s="314" t="s">
        <v>963</v>
      </c>
      <c r="E447" s="158">
        <v>25969</v>
      </c>
      <c r="F447" s="315">
        <v>3</v>
      </c>
      <c r="G447" s="168">
        <v>1</v>
      </c>
      <c r="H447" s="169"/>
      <c r="I447" s="169"/>
      <c r="J447" s="169"/>
      <c r="K447" s="195">
        <v>6.2100000000000002E-2</v>
      </c>
      <c r="L447" s="180">
        <v>1.4</v>
      </c>
      <c r="M447" s="180">
        <v>1.68</v>
      </c>
      <c r="N447" s="180">
        <v>2.23</v>
      </c>
      <c r="O447" s="181">
        <v>2.57</v>
      </c>
      <c r="P447" s="311">
        <v>4</v>
      </c>
      <c r="Q447" s="196">
        <f t="shared" si="1944"/>
        <v>319368.83951999998</v>
      </c>
      <c r="R447" s="196"/>
      <c r="S447" s="196"/>
      <c r="T447" s="196">
        <v>22</v>
      </c>
      <c r="U447" s="196">
        <f t="shared" si="1954"/>
        <v>1756528.61736</v>
      </c>
      <c r="V447" s="182"/>
      <c r="W447" s="196">
        <f t="shared" si="1945"/>
        <v>0</v>
      </c>
      <c r="X447" s="196"/>
      <c r="Y447" s="196">
        <v>0</v>
      </c>
      <c r="Z447" s="196"/>
      <c r="AA447" s="196">
        <v>0</v>
      </c>
      <c r="AB447" s="182">
        <f t="shared" si="1938"/>
        <v>0</v>
      </c>
      <c r="AC447" s="182">
        <f t="shared" si="1938"/>
        <v>0</v>
      </c>
      <c r="AD447" s="182">
        <v>108</v>
      </c>
      <c r="AE447" s="196">
        <f t="shared" si="1946"/>
        <v>8622958.6670399997</v>
      </c>
      <c r="AF447" s="182"/>
      <c r="AG447" s="182"/>
      <c r="AH447" s="182"/>
      <c r="AI447" s="196">
        <f t="shared" si="1956"/>
        <v>0</v>
      </c>
      <c r="AJ447" s="196"/>
      <c r="AK447" s="196"/>
      <c r="AL447" s="182"/>
      <c r="AM447" s="182"/>
      <c r="AN447" s="205"/>
      <c r="AO447" s="196">
        <f t="shared" si="1948"/>
        <v>0</v>
      </c>
      <c r="AP447" s="182"/>
      <c r="AQ447" s="196">
        <f t="shared" si="1949"/>
        <v>0</v>
      </c>
      <c r="AR447" s="182"/>
      <c r="AS447" s="196">
        <f t="shared" si="1950"/>
        <v>0</v>
      </c>
      <c r="AT447" s="182"/>
      <c r="AU447" s="196">
        <f t="shared" si="1951"/>
        <v>0</v>
      </c>
      <c r="AV447" s="188"/>
      <c r="AW447" s="196">
        <f t="shared" si="1952"/>
        <v>0</v>
      </c>
      <c r="AX447" s="182"/>
      <c r="AY447" s="196">
        <f t="shared" si="1953"/>
        <v>0</v>
      </c>
      <c r="AZ447" s="182"/>
      <c r="BA447" s="182"/>
      <c r="BB447" s="182"/>
      <c r="BC447" s="182"/>
      <c r="BD447" s="182"/>
      <c r="BE447" s="182"/>
      <c r="BF447" s="182"/>
      <c r="BG447" s="182"/>
      <c r="BH447" s="182"/>
      <c r="BI447" s="182"/>
      <c r="BJ447" s="182"/>
      <c r="BK447" s="182"/>
      <c r="BL447" s="182"/>
      <c r="BM447" s="182"/>
      <c r="BN447" s="182"/>
      <c r="BO447" s="196"/>
      <c r="BP447" s="182"/>
      <c r="BQ447" s="182"/>
      <c r="BR447" s="182"/>
      <c r="BS447" s="182"/>
      <c r="BT447" s="182"/>
      <c r="BU447" s="182"/>
      <c r="BV447" s="182"/>
      <c r="BW447" s="182"/>
      <c r="BX447" s="182"/>
      <c r="BY447" s="182"/>
      <c r="BZ447" s="182"/>
      <c r="CA447" s="187"/>
      <c r="CB447" s="182"/>
      <c r="CC447" s="196"/>
      <c r="CD447" s="182"/>
      <c r="CE447" s="182"/>
      <c r="CF447" s="182"/>
      <c r="CG447" s="182"/>
      <c r="CH447" s="182"/>
      <c r="CI447" s="182"/>
      <c r="CJ447" s="182"/>
      <c r="CK447" s="182"/>
      <c r="CL447" s="182"/>
      <c r="CM447" s="182"/>
      <c r="CN447" s="182"/>
      <c r="CO447" s="182"/>
      <c r="CP447" s="182"/>
      <c r="CQ447" s="182"/>
      <c r="CR447" s="182"/>
      <c r="CS447" s="196"/>
      <c r="CT447" s="182"/>
      <c r="CU447" s="182"/>
      <c r="CV447" s="182"/>
      <c r="CW447" s="182">
        <v>0</v>
      </c>
      <c r="CX447" s="182"/>
      <c r="CY447" s="182"/>
      <c r="CZ447" s="182"/>
      <c r="DA447" s="196">
        <v>0</v>
      </c>
      <c r="DB447" s="188">
        <v>14</v>
      </c>
      <c r="DC447" s="196">
        <f t="shared" si="1955"/>
        <v>1136755.9951439998</v>
      </c>
      <c r="DD447" s="182"/>
      <c r="DE447" s="187"/>
      <c r="DF447" s="182"/>
      <c r="DG447" s="182"/>
      <c r="DH447" s="189"/>
      <c r="DI447" s="182"/>
      <c r="DJ447" s="182"/>
      <c r="DK447" s="182"/>
      <c r="DL447" s="182"/>
      <c r="DM447" s="182"/>
      <c r="DN447" s="182"/>
      <c r="DO447" s="196"/>
      <c r="DP447" s="187"/>
      <c r="DQ447" s="187"/>
      <c r="DR447" s="183">
        <f t="shared" si="1865"/>
        <v>148</v>
      </c>
      <c r="DS447" s="183">
        <f t="shared" si="1865"/>
        <v>11835612.119064</v>
      </c>
      <c r="DT447" s="182">
        <v>138</v>
      </c>
      <c r="DU447" s="182">
        <v>11037190.020264</v>
      </c>
      <c r="DV447" s="167">
        <f t="shared" si="1800"/>
        <v>10</v>
      </c>
      <c r="DW447" s="167">
        <f t="shared" si="1800"/>
        <v>798422.0987999998</v>
      </c>
    </row>
    <row r="448" spans="1:127" s="6" customFormat="1" ht="45" x14ac:dyDescent="0.25">
      <c r="A448" s="154"/>
      <c r="B448" s="176">
        <v>397</v>
      </c>
      <c r="C448" s="310" t="s">
        <v>964</v>
      </c>
      <c r="D448" s="314" t="s">
        <v>965</v>
      </c>
      <c r="E448" s="158">
        <v>25969</v>
      </c>
      <c r="F448" s="315">
        <v>4.34</v>
      </c>
      <c r="G448" s="168">
        <v>1</v>
      </c>
      <c r="H448" s="169"/>
      <c r="I448" s="169"/>
      <c r="J448" s="169"/>
      <c r="K448" s="195">
        <v>4.2900000000000001E-2</v>
      </c>
      <c r="L448" s="180">
        <v>1.4</v>
      </c>
      <c r="M448" s="180">
        <v>1.68</v>
      </c>
      <c r="N448" s="180">
        <v>2.23</v>
      </c>
      <c r="O448" s="181">
        <v>2.57</v>
      </c>
      <c r="P448" s="311">
        <v>50</v>
      </c>
      <c r="Q448" s="196">
        <f t="shared" si="1944"/>
        <v>5731974.2846799996</v>
      </c>
      <c r="R448" s="196"/>
      <c r="S448" s="196"/>
      <c r="T448" s="196">
        <v>12</v>
      </c>
      <c r="U448" s="196">
        <f t="shared" si="1954"/>
        <v>1375673.8283231999</v>
      </c>
      <c r="V448" s="182"/>
      <c r="W448" s="196">
        <f t="shared" si="1945"/>
        <v>0</v>
      </c>
      <c r="X448" s="196"/>
      <c r="Y448" s="196">
        <v>0</v>
      </c>
      <c r="Z448" s="196"/>
      <c r="AA448" s="196">
        <v>0</v>
      </c>
      <c r="AB448" s="182">
        <f t="shared" si="1938"/>
        <v>0</v>
      </c>
      <c r="AC448" s="182">
        <f t="shared" si="1938"/>
        <v>0</v>
      </c>
      <c r="AD448" s="182"/>
      <c r="AE448" s="196">
        <f t="shared" si="1946"/>
        <v>0</v>
      </c>
      <c r="AF448" s="182"/>
      <c r="AG448" s="182"/>
      <c r="AH448" s="182"/>
      <c r="AI448" s="196">
        <f t="shared" si="1956"/>
        <v>0</v>
      </c>
      <c r="AJ448" s="196"/>
      <c r="AK448" s="196"/>
      <c r="AL448" s="182"/>
      <c r="AM448" s="182"/>
      <c r="AN448" s="205"/>
      <c r="AO448" s="196">
        <f t="shared" si="1948"/>
        <v>0</v>
      </c>
      <c r="AP448" s="182"/>
      <c r="AQ448" s="196">
        <f t="shared" si="1949"/>
        <v>0</v>
      </c>
      <c r="AR448" s="182"/>
      <c r="AS448" s="196">
        <f t="shared" si="1950"/>
        <v>0</v>
      </c>
      <c r="AT448" s="182"/>
      <c r="AU448" s="196">
        <f t="shared" si="1951"/>
        <v>0</v>
      </c>
      <c r="AV448" s="188"/>
      <c r="AW448" s="196">
        <f t="shared" si="1952"/>
        <v>0</v>
      </c>
      <c r="AX448" s="182"/>
      <c r="AY448" s="196">
        <f t="shared" si="1953"/>
        <v>0</v>
      </c>
      <c r="AZ448" s="182"/>
      <c r="BA448" s="182"/>
      <c r="BB448" s="182"/>
      <c r="BC448" s="182"/>
      <c r="BD448" s="182"/>
      <c r="BE448" s="182"/>
      <c r="BF448" s="182"/>
      <c r="BG448" s="182"/>
      <c r="BH448" s="182"/>
      <c r="BI448" s="182"/>
      <c r="BJ448" s="182"/>
      <c r="BK448" s="182"/>
      <c r="BL448" s="182"/>
      <c r="BM448" s="182"/>
      <c r="BN448" s="182"/>
      <c r="BO448" s="196"/>
      <c r="BP448" s="182"/>
      <c r="BQ448" s="182"/>
      <c r="BR448" s="182"/>
      <c r="BS448" s="182"/>
      <c r="BT448" s="182"/>
      <c r="BU448" s="182"/>
      <c r="BV448" s="182"/>
      <c r="BW448" s="182"/>
      <c r="BX448" s="182"/>
      <c r="BY448" s="182"/>
      <c r="BZ448" s="182"/>
      <c r="CA448" s="187"/>
      <c r="CB448" s="182"/>
      <c r="CC448" s="196"/>
      <c r="CD448" s="182"/>
      <c r="CE448" s="182"/>
      <c r="CF448" s="182"/>
      <c r="CG448" s="182"/>
      <c r="CH448" s="182"/>
      <c r="CI448" s="182"/>
      <c r="CJ448" s="182"/>
      <c r="CK448" s="182"/>
      <c r="CL448" s="182"/>
      <c r="CM448" s="182"/>
      <c r="CN448" s="182"/>
      <c r="CO448" s="182"/>
      <c r="CP448" s="182"/>
      <c r="CQ448" s="182"/>
      <c r="CR448" s="182"/>
      <c r="CS448" s="196"/>
      <c r="CT448" s="182"/>
      <c r="CU448" s="182"/>
      <c r="CV448" s="182"/>
      <c r="CW448" s="182">
        <v>0</v>
      </c>
      <c r="CX448" s="182"/>
      <c r="CY448" s="182"/>
      <c r="CZ448" s="182"/>
      <c r="DA448" s="196">
        <v>0</v>
      </c>
      <c r="DB448" s="188">
        <v>6</v>
      </c>
      <c r="DC448" s="196">
        <f t="shared" si="1955"/>
        <v>695959.82207471994</v>
      </c>
      <c r="DD448" s="182"/>
      <c r="DE448" s="187"/>
      <c r="DF448" s="182"/>
      <c r="DG448" s="182"/>
      <c r="DH448" s="189"/>
      <c r="DI448" s="182"/>
      <c r="DJ448" s="182"/>
      <c r="DK448" s="182"/>
      <c r="DL448" s="182"/>
      <c r="DM448" s="182"/>
      <c r="DN448" s="182"/>
      <c r="DO448" s="196"/>
      <c r="DP448" s="187"/>
      <c r="DQ448" s="187"/>
      <c r="DR448" s="183">
        <f t="shared" si="1865"/>
        <v>68</v>
      </c>
      <c r="DS448" s="183">
        <f t="shared" si="1865"/>
        <v>7803607.9350779196</v>
      </c>
      <c r="DT448" s="182">
        <v>65</v>
      </c>
      <c r="DU448" s="182">
        <v>7459689.4779971195</v>
      </c>
      <c r="DV448" s="167">
        <f t="shared" si="1800"/>
        <v>3</v>
      </c>
      <c r="DW448" s="167">
        <f t="shared" si="1800"/>
        <v>343918.45708080009</v>
      </c>
    </row>
    <row r="449" spans="1:127" s="6" customFormat="1" ht="45" x14ac:dyDescent="0.25">
      <c r="A449" s="154"/>
      <c r="B449" s="176">
        <v>398</v>
      </c>
      <c r="C449" s="310" t="s">
        <v>966</v>
      </c>
      <c r="D449" s="314" t="s">
        <v>967</v>
      </c>
      <c r="E449" s="158">
        <v>25969</v>
      </c>
      <c r="F449" s="315">
        <v>5.39</v>
      </c>
      <c r="G449" s="168">
        <v>1</v>
      </c>
      <c r="H449" s="169"/>
      <c r="I449" s="169"/>
      <c r="J449" s="169"/>
      <c r="K449" s="195">
        <v>3.4599999999999999E-2</v>
      </c>
      <c r="L449" s="180">
        <v>1.4</v>
      </c>
      <c r="M449" s="180">
        <v>1.68</v>
      </c>
      <c r="N449" s="180">
        <v>2.23</v>
      </c>
      <c r="O449" s="181">
        <v>2.57</v>
      </c>
      <c r="P449" s="311">
        <v>30</v>
      </c>
      <c r="Q449" s="196">
        <f t="shared" si="1944"/>
        <v>4257304.052232</v>
      </c>
      <c r="R449" s="196"/>
      <c r="S449" s="196"/>
      <c r="T449" s="196">
        <v>5</v>
      </c>
      <c r="U449" s="196">
        <f t="shared" si="1954"/>
        <v>709550.67537199997</v>
      </c>
      <c r="V449" s="182"/>
      <c r="W449" s="196">
        <f t="shared" si="1945"/>
        <v>0</v>
      </c>
      <c r="X449" s="196"/>
      <c r="Y449" s="196">
        <v>0</v>
      </c>
      <c r="Z449" s="196"/>
      <c r="AA449" s="196">
        <v>0</v>
      </c>
      <c r="AB449" s="182">
        <f t="shared" si="1938"/>
        <v>0</v>
      </c>
      <c r="AC449" s="182">
        <f t="shared" si="1938"/>
        <v>0</v>
      </c>
      <c r="AD449" s="182">
        <v>74</v>
      </c>
      <c r="AE449" s="196">
        <f t="shared" si="1946"/>
        <v>10501349.995505601</v>
      </c>
      <c r="AF449" s="182"/>
      <c r="AG449" s="182"/>
      <c r="AH449" s="182"/>
      <c r="AI449" s="196">
        <f t="shared" si="1956"/>
        <v>0</v>
      </c>
      <c r="AJ449" s="196"/>
      <c r="AK449" s="196"/>
      <c r="AL449" s="182"/>
      <c r="AM449" s="182"/>
      <c r="AN449" s="205"/>
      <c r="AO449" s="196">
        <f t="shared" si="1948"/>
        <v>0</v>
      </c>
      <c r="AP449" s="182"/>
      <c r="AQ449" s="196">
        <f t="shared" si="1949"/>
        <v>0</v>
      </c>
      <c r="AR449" s="182"/>
      <c r="AS449" s="196">
        <f t="shared" si="1950"/>
        <v>0</v>
      </c>
      <c r="AT449" s="182"/>
      <c r="AU449" s="196">
        <f t="shared" si="1951"/>
        <v>0</v>
      </c>
      <c r="AV449" s="188"/>
      <c r="AW449" s="196">
        <f t="shared" si="1952"/>
        <v>0</v>
      </c>
      <c r="AX449" s="182"/>
      <c r="AY449" s="196">
        <f t="shared" si="1953"/>
        <v>0</v>
      </c>
      <c r="AZ449" s="182"/>
      <c r="BA449" s="182"/>
      <c r="BB449" s="182"/>
      <c r="BC449" s="182"/>
      <c r="BD449" s="182"/>
      <c r="BE449" s="182"/>
      <c r="BF449" s="182"/>
      <c r="BG449" s="182"/>
      <c r="BH449" s="182"/>
      <c r="BI449" s="182"/>
      <c r="BJ449" s="182"/>
      <c r="BK449" s="182"/>
      <c r="BL449" s="182"/>
      <c r="BM449" s="182"/>
      <c r="BN449" s="182"/>
      <c r="BO449" s="196"/>
      <c r="BP449" s="182"/>
      <c r="BQ449" s="182"/>
      <c r="BR449" s="182"/>
      <c r="BS449" s="182"/>
      <c r="BT449" s="182"/>
      <c r="BU449" s="182"/>
      <c r="BV449" s="182"/>
      <c r="BW449" s="182"/>
      <c r="BX449" s="182"/>
      <c r="BY449" s="182"/>
      <c r="BZ449" s="182"/>
      <c r="CA449" s="187"/>
      <c r="CB449" s="182"/>
      <c r="CC449" s="196"/>
      <c r="CD449" s="182"/>
      <c r="CE449" s="182"/>
      <c r="CF449" s="182"/>
      <c r="CG449" s="182"/>
      <c r="CH449" s="182"/>
      <c r="CI449" s="182"/>
      <c r="CJ449" s="182"/>
      <c r="CK449" s="182"/>
      <c r="CL449" s="182"/>
      <c r="CM449" s="182"/>
      <c r="CN449" s="182"/>
      <c r="CO449" s="182"/>
      <c r="CP449" s="182"/>
      <c r="CQ449" s="182"/>
      <c r="CR449" s="182"/>
      <c r="CS449" s="196"/>
      <c r="CT449" s="182"/>
      <c r="CU449" s="182"/>
      <c r="CV449" s="182"/>
      <c r="CW449" s="182">
        <v>0</v>
      </c>
      <c r="CX449" s="182"/>
      <c r="CY449" s="182"/>
      <c r="CZ449" s="182"/>
      <c r="DA449" s="196">
        <v>0</v>
      </c>
      <c r="DB449" s="188"/>
      <c r="DC449" s="196">
        <f t="shared" si="1955"/>
        <v>0</v>
      </c>
      <c r="DD449" s="182"/>
      <c r="DE449" s="187"/>
      <c r="DF449" s="182"/>
      <c r="DG449" s="182"/>
      <c r="DH449" s="189"/>
      <c r="DI449" s="182"/>
      <c r="DJ449" s="182"/>
      <c r="DK449" s="182"/>
      <c r="DL449" s="182"/>
      <c r="DM449" s="182"/>
      <c r="DN449" s="182"/>
      <c r="DO449" s="196"/>
      <c r="DP449" s="187"/>
      <c r="DQ449" s="187"/>
      <c r="DR449" s="183">
        <f t="shared" si="1865"/>
        <v>109</v>
      </c>
      <c r="DS449" s="183">
        <f t="shared" si="1865"/>
        <v>15468204.723109601</v>
      </c>
      <c r="DT449" s="182">
        <v>107</v>
      </c>
      <c r="DU449" s="182">
        <v>15184384.4529608</v>
      </c>
      <c r="DV449" s="167">
        <f t="shared" si="1800"/>
        <v>2</v>
      </c>
      <c r="DW449" s="167">
        <f t="shared" si="1800"/>
        <v>283820.27014880069</v>
      </c>
    </row>
    <row r="450" spans="1:127" s="6" customFormat="1" ht="45" x14ac:dyDescent="0.25">
      <c r="A450" s="154"/>
      <c r="B450" s="176">
        <v>399</v>
      </c>
      <c r="C450" s="310" t="s">
        <v>968</v>
      </c>
      <c r="D450" s="314" t="s">
        <v>969</v>
      </c>
      <c r="E450" s="158">
        <v>25969</v>
      </c>
      <c r="F450" s="315">
        <v>6.72</v>
      </c>
      <c r="G450" s="168">
        <v>1</v>
      </c>
      <c r="H450" s="169"/>
      <c r="I450" s="169"/>
      <c r="J450" s="169"/>
      <c r="K450" s="195">
        <v>2.7799999999999998E-2</v>
      </c>
      <c r="L450" s="180">
        <v>1.4</v>
      </c>
      <c r="M450" s="180">
        <v>1.68</v>
      </c>
      <c r="N450" s="180">
        <v>2.23</v>
      </c>
      <c r="O450" s="181">
        <v>2.57</v>
      </c>
      <c r="P450" s="311">
        <v>1</v>
      </c>
      <c r="Q450" s="196">
        <f t="shared" si="1944"/>
        <v>176452.2498816</v>
      </c>
      <c r="R450" s="196"/>
      <c r="S450" s="196"/>
      <c r="T450" s="196"/>
      <c r="U450" s="196">
        <f t="shared" si="1954"/>
        <v>0</v>
      </c>
      <c r="V450" s="182"/>
      <c r="W450" s="196">
        <f t="shared" si="1945"/>
        <v>0</v>
      </c>
      <c r="X450" s="196"/>
      <c r="Y450" s="196">
        <v>0</v>
      </c>
      <c r="Z450" s="196"/>
      <c r="AA450" s="196">
        <v>0</v>
      </c>
      <c r="AB450" s="182">
        <f t="shared" si="1938"/>
        <v>0</v>
      </c>
      <c r="AC450" s="182">
        <f t="shared" si="1938"/>
        <v>0</v>
      </c>
      <c r="AD450" s="182">
        <v>6</v>
      </c>
      <c r="AE450" s="196">
        <f t="shared" si="1946"/>
        <v>1058713.4992895999</v>
      </c>
      <c r="AF450" s="182"/>
      <c r="AG450" s="182"/>
      <c r="AH450" s="182"/>
      <c r="AI450" s="196">
        <f t="shared" si="1956"/>
        <v>0</v>
      </c>
      <c r="AJ450" s="196"/>
      <c r="AK450" s="196"/>
      <c r="AL450" s="182"/>
      <c r="AM450" s="182"/>
      <c r="AN450" s="205"/>
      <c r="AO450" s="196">
        <f t="shared" si="1948"/>
        <v>0</v>
      </c>
      <c r="AP450" s="182"/>
      <c r="AQ450" s="196">
        <f t="shared" si="1949"/>
        <v>0</v>
      </c>
      <c r="AR450" s="182"/>
      <c r="AS450" s="196">
        <f>(AR450*$E450*$F450*((1-$K450)+$K450*$L450*$G450))</f>
        <v>0</v>
      </c>
      <c r="AT450" s="182"/>
      <c r="AU450" s="196">
        <f t="shared" si="1951"/>
        <v>0</v>
      </c>
      <c r="AV450" s="188"/>
      <c r="AW450" s="196">
        <f t="shared" si="1952"/>
        <v>0</v>
      </c>
      <c r="AX450" s="182"/>
      <c r="AY450" s="196">
        <f t="shared" si="1953"/>
        <v>0</v>
      </c>
      <c r="AZ450" s="182"/>
      <c r="BA450" s="182"/>
      <c r="BB450" s="182"/>
      <c r="BC450" s="182"/>
      <c r="BD450" s="182"/>
      <c r="BE450" s="182"/>
      <c r="BF450" s="182"/>
      <c r="BG450" s="182"/>
      <c r="BH450" s="182"/>
      <c r="BI450" s="182"/>
      <c r="BJ450" s="182"/>
      <c r="BK450" s="182"/>
      <c r="BL450" s="182"/>
      <c r="BM450" s="182"/>
      <c r="BN450" s="182"/>
      <c r="BO450" s="196"/>
      <c r="BP450" s="182"/>
      <c r="BQ450" s="182"/>
      <c r="BR450" s="182"/>
      <c r="BS450" s="182"/>
      <c r="BT450" s="182"/>
      <c r="BU450" s="182"/>
      <c r="BV450" s="182"/>
      <c r="BW450" s="182"/>
      <c r="BX450" s="182"/>
      <c r="BY450" s="182"/>
      <c r="BZ450" s="182"/>
      <c r="CA450" s="187"/>
      <c r="CB450" s="182"/>
      <c r="CC450" s="196"/>
      <c r="CD450" s="182"/>
      <c r="CE450" s="182"/>
      <c r="CF450" s="182"/>
      <c r="CG450" s="182"/>
      <c r="CH450" s="182"/>
      <c r="CI450" s="182"/>
      <c r="CJ450" s="182"/>
      <c r="CK450" s="182"/>
      <c r="CL450" s="182"/>
      <c r="CM450" s="182"/>
      <c r="CN450" s="182"/>
      <c r="CO450" s="182"/>
      <c r="CP450" s="182"/>
      <c r="CQ450" s="182"/>
      <c r="CR450" s="182"/>
      <c r="CS450" s="196"/>
      <c r="CT450" s="182"/>
      <c r="CU450" s="182"/>
      <c r="CV450" s="182"/>
      <c r="CW450" s="182">
        <v>0</v>
      </c>
      <c r="CX450" s="182"/>
      <c r="CY450" s="182"/>
      <c r="CZ450" s="182"/>
      <c r="DA450" s="196">
        <v>0</v>
      </c>
      <c r="DB450" s="188"/>
      <c r="DC450" s="196">
        <f t="shared" si="1955"/>
        <v>0</v>
      </c>
      <c r="DD450" s="182"/>
      <c r="DE450" s="187"/>
      <c r="DF450" s="182"/>
      <c r="DG450" s="182"/>
      <c r="DH450" s="189"/>
      <c r="DI450" s="182"/>
      <c r="DJ450" s="182"/>
      <c r="DK450" s="182"/>
      <c r="DL450" s="182"/>
      <c r="DM450" s="182"/>
      <c r="DN450" s="182"/>
      <c r="DO450" s="196"/>
      <c r="DP450" s="187"/>
      <c r="DQ450" s="187"/>
      <c r="DR450" s="183">
        <f t="shared" si="1865"/>
        <v>7</v>
      </c>
      <c r="DS450" s="183">
        <f t="shared" si="1865"/>
        <v>1235165.7491712</v>
      </c>
      <c r="DT450" s="182">
        <v>7</v>
      </c>
      <c r="DU450" s="182">
        <v>1235165.7491712</v>
      </c>
      <c r="DV450" s="167">
        <f t="shared" si="1800"/>
        <v>0</v>
      </c>
      <c r="DW450" s="167">
        <f t="shared" si="1800"/>
        <v>0</v>
      </c>
    </row>
    <row r="451" spans="1:127" s="6" customFormat="1" ht="45" x14ac:dyDescent="0.25">
      <c r="A451" s="154"/>
      <c r="B451" s="176">
        <v>400</v>
      </c>
      <c r="C451" s="310" t="s">
        <v>970</v>
      </c>
      <c r="D451" s="314" t="s">
        <v>971</v>
      </c>
      <c r="E451" s="158">
        <v>25969</v>
      </c>
      <c r="F451" s="315">
        <v>10.11</v>
      </c>
      <c r="G451" s="168">
        <v>1</v>
      </c>
      <c r="H451" s="169"/>
      <c r="I451" s="169"/>
      <c r="J451" s="169"/>
      <c r="K451" s="195">
        <v>1.84E-2</v>
      </c>
      <c r="L451" s="180">
        <v>1.4</v>
      </c>
      <c r="M451" s="180">
        <v>1.68</v>
      </c>
      <c r="N451" s="180">
        <v>2.23</v>
      </c>
      <c r="O451" s="181">
        <v>2.57</v>
      </c>
      <c r="P451" s="311">
        <v>20</v>
      </c>
      <c r="Q451" s="196">
        <f t="shared" si="1944"/>
        <v>5289578.6580480002</v>
      </c>
      <c r="R451" s="196"/>
      <c r="S451" s="196"/>
      <c r="T451" s="196"/>
      <c r="U451" s="196">
        <f t="shared" si="1954"/>
        <v>0</v>
      </c>
      <c r="V451" s="182"/>
      <c r="W451" s="196">
        <f t="shared" si="1945"/>
        <v>0</v>
      </c>
      <c r="X451" s="196"/>
      <c r="Y451" s="196">
        <v>0</v>
      </c>
      <c r="Z451" s="196"/>
      <c r="AA451" s="196">
        <v>0</v>
      </c>
      <c r="AB451" s="182">
        <f t="shared" si="1938"/>
        <v>0</v>
      </c>
      <c r="AC451" s="182">
        <f t="shared" si="1938"/>
        <v>0</v>
      </c>
      <c r="AD451" s="182">
        <v>18</v>
      </c>
      <c r="AE451" s="196">
        <f>(AD451*$E451*$F451*((1-$K451)+$K451*$L451*$G451))</f>
        <v>4760620.7922432004</v>
      </c>
      <c r="AF451" s="182"/>
      <c r="AG451" s="182"/>
      <c r="AH451" s="182"/>
      <c r="AI451" s="196">
        <f t="shared" si="1956"/>
        <v>0</v>
      </c>
      <c r="AJ451" s="196"/>
      <c r="AK451" s="196"/>
      <c r="AL451" s="182"/>
      <c r="AM451" s="182"/>
      <c r="AN451" s="205"/>
      <c r="AO451" s="196">
        <f t="shared" si="1948"/>
        <v>0</v>
      </c>
      <c r="AP451" s="182"/>
      <c r="AQ451" s="196">
        <f t="shared" si="1949"/>
        <v>0</v>
      </c>
      <c r="AR451" s="182"/>
      <c r="AS451" s="196">
        <f t="shared" si="1950"/>
        <v>0</v>
      </c>
      <c r="AT451" s="182"/>
      <c r="AU451" s="196">
        <f t="shared" si="1951"/>
        <v>0</v>
      </c>
      <c r="AV451" s="188"/>
      <c r="AW451" s="196">
        <f t="shared" si="1952"/>
        <v>0</v>
      </c>
      <c r="AX451" s="182"/>
      <c r="AY451" s="196">
        <f t="shared" si="1953"/>
        <v>0</v>
      </c>
      <c r="AZ451" s="182"/>
      <c r="BA451" s="182"/>
      <c r="BB451" s="182"/>
      <c r="BC451" s="182"/>
      <c r="BD451" s="182"/>
      <c r="BE451" s="182"/>
      <c r="BF451" s="182"/>
      <c r="BG451" s="182"/>
      <c r="BH451" s="182"/>
      <c r="BI451" s="182"/>
      <c r="BJ451" s="182"/>
      <c r="BK451" s="182"/>
      <c r="BL451" s="182"/>
      <c r="BM451" s="182"/>
      <c r="BN451" s="182"/>
      <c r="BO451" s="196"/>
      <c r="BP451" s="182"/>
      <c r="BQ451" s="182"/>
      <c r="BR451" s="182"/>
      <c r="BS451" s="182"/>
      <c r="BT451" s="182"/>
      <c r="BU451" s="182"/>
      <c r="BV451" s="182"/>
      <c r="BW451" s="182"/>
      <c r="BX451" s="182"/>
      <c r="BY451" s="182"/>
      <c r="BZ451" s="182"/>
      <c r="CA451" s="187"/>
      <c r="CB451" s="182"/>
      <c r="CC451" s="196"/>
      <c r="CD451" s="182"/>
      <c r="CE451" s="182"/>
      <c r="CF451" s="182"/>
      <c r="CG451" s="182"/>
      <c r="CH451" s="182"/>
      <c r="CI451" s="182"/>
      <c r="CJ451" s="182"/>
      <c r="CK451" s="182"/>
      <c r="CL451" s="182"/>
      <c r="CM451" s="182"/>
      <c r="CN451" s="182"/>
      <c r="CO451" s="182"/>
      <c r="CP451" s="182"/>
      <c r="CQ451" s="182"/>
      <c r="CR451" s="182"/>
      <c r="CS451" s="196"/>
      <c r="CT451" s="182"/>
      <c r="CU451" s="182"/>
      <c r="CV451" s="182"/>
      <c r="CW451" s="182">
        <v>0</v>
      </c>
      <c r="CX451" s="182"/>
      <c r="CY451" s="182"/>
      <c r="CZ451" s="182"/>
      <c r="DA451" s="196">
        <v>0</v>
      </c>
      <c r="DB451" s="188"/>
      <c r="DC451" s="196">
        <f t="shared" si="1955"/>
        <v>0</v>
      </c>
      <c r="DD451" s="182"/>
      <c r="DE451" s="187"/>
      <c r="DF451" s="182"/>
      <c r="DG451" s="182"/>
      <c r="DH451" s="189"/>
      <c r="DI451" s="182"/>
      <c r="DJ451" s="182"/>
      <c r="DK451" s="182"/>
      <c r="DL451" s="182"/>
      <c r="DM451" s="182"/>
      <c r="DN451" s="182"/>
      <c r="DO451" s="196"/>
      <c r="DP451" s="187"/>
      <c r="DQ451" s="187"/>
      <c r="DR451" s="183">
        <f t="shared" si="1865"/>
        <v>38</v>
      </c>
      <c r="DS451" s="183">
        <f t="shared" si="1865"/>
        <v>10050199.450291201</v>
      </c>
      <c r="DT451" s="182">
        <v>38</v>
      </c>
      <c r="DU451" s="182">
        <v>10050199.450291201</v>
      </c>
      <c r="DV451" s="167">
        <f t="shared" si="1800"/>
        <v>0</v>
      </c>
      <c r="DW451" s="167">
        <f t="shared" si="1800"/>
        <v>0</v>
      </c>
    </row>
    <row r="452" spans="1:127" s="6" customFormat="1" ht="45" x14ac:dyDescent="0.25">
      <c r="A452" s="154"/>
      <c r="B452" s="176">
        <v>401</v>
      </c>
      <c r="C452" s="310" t="s">
        <v>972</v>
      </c>
      <c r="D452" s="314" t="s">
        <v>973</v>
      </c>
      <c r="E452" s="158">
        <v>25969</v>
      </c>
      <c r="F452" s="315">
        <v>20.34</v>
      </c>
      <c r="G452" s="168">
        <v>1</v>
      </c>
      <c r="H452" s="169"/>
      <c r="I452" s="169"/>
      <c r="J452" s="169"/>
      <c r="K452" s="195">
        <v>9.1999999999999998E-3</v>
      </c>
      <c r="L452" s="180">
        <v>1.4</v>
      </c>
      <c r="M452" s="180">
        <v>1.68</v>
      </c>
      <c r="N452" s="180">
        <v>2.23</v>
      </c>
      <c r="O452" s="181">
        <v>2.57</v>
      </c>
      <c r="P452" s="311">
        <v>0</v>
      </c>
      <c r="Q452" s="196">
        <f t="shared" si="1944"/>
        <v>0</v>
      </c>
      <c r="R452" s="196"/>
      <c r="S452" s="196"/>
      <c r="T452" s="196">
        <v>6</v>
      </c>
      <c r="U452" s="196">
        <f t="shared" si="1954"/>
        <v>3180919.6248767995</v>
      </c>
      <c r="V452" s="182"/>
      <c r="W452" s="196">
        <f t="shared" si="1945"/>
        <v>0</v>
      </c>
      <c r="X452" s="196"/>
      <c r="Y452" s="196">
        <v>0</v>
      </c>
      <c r="Z452" s="196"/>
      <c r="AA452" s="196">
        <v>0</v>
      </c>
      <c r="AB452" s="182">
        <f t="shared" si="1938"/>
        <v>0</v>
      </c>
      <c r="AC452" s="182">
        <f t="shared" si="1938"/>
        <v>0</v>
      </c>
      <c r="AD452" s="182"/>
      <c r="AE452" s="196">
        <f t="shared" si="1946"/>
        <v>0</v>
      </c>
      <c r="AF452" s="182"/>
      <c r="AG452" s="182"/>
      <c r="AH452" s="182"/>
      <c r="AI452" s="196">
        <f t="shared" si="1956"/>
        <v>0</v>
      </c>
      <c r="AJ452" s="196"/>
      <c r="AK452" s="196"/>
      <c r="AL452" s="182"/>
      <c r="AM452" s="182"/>
      <c r="AN452" s="205"/>
      <c r="AO452" s="196">
        <f>(AN452*$E452*$F452*((1-$K452)+$K452*$L452*$G452))</f>
        <v>0</v>
      </c>
      <c r="AP452" s="182"/>
      <c r="AQ452" s="196">
        <f t="shared" si="1949"/>
        <v>0</v>
      </c>
      <c r="AR452" s="182"/>
      <c r="AS452" s="196">
        <f t="shared" si="1950"/>
        <v>0</v>
      </c>
      <c r="AT452" s="182"/>
      <c r="AU452" s="196">
        <f t="shared" si="1951"/>
        <v>0</v>
      </c>
      <c r="AV452" s="188"/>
      <c r="AW452" s="196">
        <f t="shared" si="1952"/>
        <v>0</v>
      </c>
      <c r="AX452" s="182"/>
      <c r="AY452" s="196">
        <f t="shared" si="1953"/>
        <v>0</v>
      </c>
      <c r="AZ452" s="182"/>
      <c r="BA452" s="182"/>
      <c r="BB452" s="182"/>
      <c r="BC452" s="182"/>
      <c r="BD452" s="182"/>
      <c r="BE452" s="182"/>
      <c r="BF452" s="182"/>
      <c r="BG452" s="182"/>
      <c r="BH452" s="182"/>
      <c r="BI452" s="182"/>
      <c r="BJ452" s="182"/>
      <c r="BK452" s="182"/>
      <c r="BL452" s="182"/>
      <c r="BM452" s="182"/>
      <c r="BN452" s="182"/>
      <c r="BO452" s="196"/>
      <c r="BP452" s="182"/>
      <c r="BQ452" s="182"/>
      <c r="BR452" s="182"/>
      <c r="BS452" s="182"/>
      <c r="BT452" s="182"/>
      <c r="BU452" s="182"/>
      <c r="BV452" s="182"/>
      <c r="BW452" s="182"/>
      <c r="BX452" s="182"/>
      <c r="BY452" s="182"/>
      <c r="BZ452" s="182"/>
      <c r="CA452" s="187"/>
      <c r="CB452" s="182"/>
      <c r="CC452" s="196"/>
      <c r="CD452" s="182"/>
      <c r="CE452" s="182"/>
      <c r="CF452" s="182"/>
      <c r="CG452" s="182"/>
      <c r="CH452" s="182"/>
      <c r="CI452" s="182"/>
      <c r="CJ452" s="182"/>
      <c r="CK452" s="182"/>
      <c r="CL452" s="182"/>
      <c r="CM452" s="182"/>
      <c r="CN452" s="182"/>
      <c r="CO452" s="182"/>
      <c r="CP452" s="182"/>
      <c r="CQ452" s="182"/>
      <c r="CR452" s="182"/>
      <c r="CS452" s="196"/>
      <c r="CT452" s="182"/>
      <c r="CU452" s="182"/>
      <c r="CV452" s="182"/>
      <c r="CW452" s="182">
        <v>0</v>
      </c>
      <c r="CX452" s="182"/>
      <c r="CY452" s="182"/>
      <c r="CZ452" s="182"/>
      <c r="DA452" s="196">
        <v>0</v>
      </c>
      <c r="DB452" s="188"/>
      <c r="DC452" s="196">
        <f t="shared" si="1955"/>
        <v>0</v>
      </c>
      <c r="DD452" s="182"/>
      <c r="DE452" s="187"/>
      <c r="DF452" s="182"/>
      <c r="DG452" s="182"/>
      <c r="DH452" s="189"/>
      <c r="DI452" s="182"/>
      <c r="DJ452" s="182"/>
      <c r="DK452" s="182"/>
      <c r="DL452" s="182"/>
      <c r="DM452" s="182"/>
      <c r="DN452" s="182"/>
      <c r="DO452" s="196"/>
      <c r="DP452" s="187"/>
      <c r="DQ452" s="187"/>
      <c r="DR452" s="183">
        <f t="shared" si="1865"/>
        <v>6</v>
      </c>
      <c r="DS452" s="183">
        <f t="shared" si="1865"/>
        <v>3180919.6248767995</v>
      </c>
      <c r="DT452" s="182">
        <v>4</v>
      </c>
      <c r="DU452" s="182">
        <v>2120613.0832511997</v>
      </c>
      <c r="DV452" s="167">
        <f t="shared" si="1800"/>
        <v>2</v>
      </c>
      <c r="DW452" s="167">
        <f t="shared" si="1800"/>
        <v>1060306.5416255998</v>
      </c>
    </row>
    <row r="453" spans="1:127" s="6" customFormat="1" ht="45" x14ac:dyDescent="0.25">
      <c r="A453" s="154"/>
      <c r="B453" s="176">
        <v>402</v>
      </c>
      <c r="C453" s="310" t="s">
        <v>974</v>
      </c>
      <c r="D453" s="314" t="s">
        <v>975</v>
      </c>
      <c r="E453" s="158">
        <v>25969</v>
      </c>
      <c r="F453" s="315">
        <v>21.93</v>
      </c>
      <c r="G453" s="168">
        <v>1</v>
      </c>
      <c r="H453" s="169"/>
      <c r="I453" s="169"/>
      <c r="J453" s="169"/>
      <c r="K453" s="195">
        <v>8.5000000000000006E-3</v>
      </c>
      <c r="L453" s="180">
        <v>1.4</v>
      </c>
      <c r="M453" s="180">
        <v>1.68</v>
      </c>
      <c r="N453" s="180">
        <v>2.23</v>
      </c>
      <c r="O453" s="181">
        <v>2.57</v>
      </c>
      <c r="P453" s="311">
        <v>0</v>
      </c>
      <c r="Q453" s="196">
        <f t="shared" si="1944"/>
        <v>0</v>
      </c>
      <c r="R453" s="196"/>
      <c r="S453" s="196"/>
      <c r="T453" s="196"/>
      <c r="U453" s="196">
        <f t="shared" si="1954"/>
        <v>0</v>
      </c>
      <c r="V453" s="182"/>
      <c r="W453" s="196">
        <f t="shared" si="1945"/>
        <v>0</v>
      </c>
      <c r="X453" s="196"/>
      <c r="Y453" s="196">
        <v>0</v>
      </c>
      <c r="Z453" s="196"/>
      <c r="AA453" s="196">
        <v>0</v>
      </c>
      <c r="AB453" s="182">
        <f t="shared" si="1938"/>
        <v>0</v>
      </c>
      <c r="AC453" s="182">
        <f t="shared" si="1938"/>
        <v>0</v>
      </c>
      <c r="AD453" s="182"/>
      <c r="AE453" s="196">
        <f t="shared" si="1946"/>
        <v>0</v>
      </c>
      <c r="AF453" s="182"/>
      <c r="AG453" s="182"/>
      <c r="AH453" s="182"/>
      <c r="AI453" s="196">
        <f t="shared" si="1956"/>
        <v>0</v>
      </c>
      <c r="AJ453" s="196"/>
      <c r="AK453" s="196"/>
      <c r="AL453" s="182"/>
      <c r="AM453" s="182"/>
      <c r="AN453" s="205"/>
      <c r="AO453" s="196">
        <f t="shared" si="1948"/>
        <v>0</v>
      </c>
      <c r="AP453" s="182"/>
      <c r="AQ453" s="196">
        <f t="shared" si="1949"/>
        <v>0</v>
      </c>
      <c r="AR453" s="182"/>
      <c r="AS453" s="196">
        <f t="shared" si="1950"/>
        <v>0</v>
      </c>
      <c r="AT453" s="182"/>
      <c r="AU453" s="196">
        <f t="shared" si="1951"/>
        <v>0</v>
      </c>
      <c r="AV453" s="188"/>
      <c r="AW453" s="196">
        <f t="shared" si="1952"/>
        <v>0</v>
      </c>
      <c r="AX453" s="182"/>
      <c r="AY453" s="196">
        <f t="shared" si="1953"/>
        <v>0</v>
      </c>
      <c r="AZ453" s="182"/>
      <c r="BA453" s="182"/>
      <c r="BB453" s="182"/>
      <c r="BC453" s="182"/>
      <c r="BD453" s="182"/>
      <c r="BE453" s="182"/>
      <c r="BF453" s="182"/>
      <c r="BG453" s="182"/>
      <c r="BH453" s="182"/>
      <c r="BI453" s="182"/>
      <c r="BJ453" s="182"/>
      <c r="BK453" s="182"/>
      <c r="BL453" s="182"/>
      <c r="BM453" s="182"/>
      <c r="BN453" s="182"/>
      <c r="BO453" s="196"/>
      <c r="BP453" s="182"/>
      <c r="BQ453" s="182"/>
      <c r="BR453" s="182"/>
      <c r="BS453" s="182"/>
      <c r="BT453" s="182"/>
      <c r="BU453" s="182"/>
      <c r="BV453" s="182"/>
      <c r="BW453" s="182"/>
      <c r="BX453" s="182"/>
      <c r="BY453" s="182"/>
      <c r="BZ453" s="182"/>
      <c r="CA453" s="187"/>
      <c r="CB453" s="182"/>
      <c r="CC453" s="196"/>
      <c r="CD453" s="182"/>
      <c r="CE453" s="182"/>
      <c r="CF453" s="182"/>
      <c r="CG453" s="182"/>
      <c r="CH453" s="182"/>
      <c r="CI453" s="182"/>
      <c r="CJ453" s="182"/>
      <c r="CK453" s="182"/>
      <c r="CL453" s="182"/>
      <c r="CM453" s="182"/>
      <c r="CN453" s="182"/>
      <c r="CO453" s="182"/>
      <c r="CP453" s="182"/>
      <c r="CQ453" s="182"/>
      <c r="CR453" s="182"/>
      <c r="CS453" s="196"/>
      <c r="CT453" s="182"/>
      <c r="CU453" s="182"/>
      <c r="CV453" s="182"/>
      <c r="CW453" s="182">
        <v>0</v>
      </c>
      <c r="CX453" s="182"/>
      <c r="CY453" s="182"/>
      <c r="CZ453" s="182"/>
      <c r="DA453" s="196">
        <v>0</v>
      </c>
      <c r="DB453" s="188"/>
      <c r="DC453" s="196">
        <f t="shared" si="1955"/>
        <v>0</v>
      </c>
      <c r="DD453" s="182"/>
      <c r="DE453" s="187"/>
      <c r="DF453" s="182"/>
      <c r="DG453" s="182"/>
      <c r="DH453" s="189"/>
      <c r="DI453" s="182"/>
      <c r="DJ453" s="182"/>
      <c r="DK453" s="182"/>
      <c r="DL453" s="182"/>
      <c r="DM453" s="182"/>
      <c r="DN453" s="182"/>
      <c r="DO453" s="196"/>
      <c r="DP453" s="187"/>
      <c r="DQ453" s="187"/>
      <c r="DR453" s="183">
        <f t="shared" si="1865"/>
        <v>0</v>
      </c>
      <c r="DS453" s="183">
        <f t="shared" si="1865"/>
        <v>0</v>
      </c>
      <c r="DT453" s="182">
        <v>0</v>
      </c>
      <c r="DU453" s="182">
        <v>0</v>
      </c>
      <c r="DV453" s="167">
        <f t="shared" si="1800"/>
        <v>0</v>
      </c>
      <c r="DW453" s="167">
        <f t="shared" si="1800"/>
        <v>0</v>
      </c>
    </row>
    <row r="454" spans="1:127" s="6" customFormat="1" ht="45" x14ac:dyDescent="0.25">
      <c r="A454" s="154"/>
      <c r="B454" s="176">
        <v>403</v>
      </c>
      <c r="C454" s="310" t="s">
        <v>976</v>
      </c>
      <c r="D454" s="314" t="s">
        <v>977</v>
      </c>
      <c r="E454" s="158">
        <v>25969</v>
      </c>
      <c r="F454" s="315">
        <v>42.61</v>
      </c>
      <c r="G454" s="168">
        <v>1</v>
      </c>
      <c r="H454" s="169"/>
      <c r="I454" s="169"/>
      <c r="J454" s="169"/>
      <c r="K454" s="195">
        <v>4.4000000000000003E-3</v>
      </c>
      <c r="L454" s="180">
        <v>1.4</v>
      </c>
      <c r="M454" s="180">
        <v>1.68</v>
      </c>
      <c r="N454" s="180">
        <v>2.23</v>
      </c>
      <c r="O454" s="181">
        <v>2.57</v>
      </c>
      <c r="P454" s="311">
        <v>2</v>
      </c>
      <c r="Q454" s="196">
        <f t="shared" si="1944"/>
        <v>2216973.1975968</v>
      </c>
      <c r="R454" s="196"/>
      <c r="S454" s="196"/>
      <c r="T454" s="196"/>
      <c r="U454" s="196">
        <f t="shared" si="1954"/>
        <v>0</v>
      </c>
      <c r="V454" s="182"/>
      <c r="W454" s="196">
        <f t="shared" si="1945"/>
        <v>0</v>
      </c>
      <c r="X454" s="196"/>
      <c r="Y454" s="196">
        <v>0</v>
      </c>
      <c r="Z454" s="196"/>
      <c r="AA454" s="196">
        <v>0</v>
      </c>
      <c r="AB454" s="182">
        <f t="shared" si="1938"/>
        <v>0</v>
      </c>
      <c r="AC454" s="182">
        <f t="shared" si="1938"/>
        <v>0</v>
      </c>
      <c r="AD454" s="182"/>
      <c r="AE454" s="196">
        <f t="shared" si="1946"/>
        <v>0</v>
      </c>
      <c r="AF454" s="182"/>
      <c r="AG454" s="182"/>
      <c r="AH454" s="182"/>
      <c r="AI454" s="196">
        <f t="shared" si="1956"/>
        <v>0</v>
      </c>
      <c r="AJ454" s="196"/>
      <c r="AK454" s="196"/>
      <c r="AL454" s="182"/>
      <c r="AM454" s="182"/>
      <c r="AN454" s="205"/>
      <c r="AO454" s="196">
        <f t="shared" si="1948"/>
        <v>0</v>
      </c>
      <c r="AP454" s="182"/>
      <c r="AQ454" s="196">
        <f t="shared" si="1949"/>
        <v>0</v>
      </c>
      <c r="AR454" s="182"/>
      <c r="AS454" s="196">
        <f t="shared" si="1950"/>
        <v>0</v>
      </c>
      <c r="AT454" s="182"/>
      <c r="AU454" s="196">
        <f t="shared" si="1951"/>
        <v>0</v>
      </c>
      <c r="AV454" s="188"/>
      <c r="AW454" s="196">
        <f t="shared" si="1952"/>
        <v>0</v>
      </c>
      <c r="AX454" s="182"/>
      <c r="AY454" s="196">
        <f t="shared" si="1953"/>
        <v>0</v>
      </c>
      <c r="AZ454" s="182"/>
      <c r="BA454" s="182"/>
      <c r="BB454" s="182"/>
      <c r="BC454" s="182"/>
      <c r="BD454" s="182"/>
      <c r="BE454" s="182"/>
      <c r="BF454" s="182"/>
      <c r="BG454" s="182"/>
      <c r="BH454" s="182"/>
      <c r="BI454" s="182"/>
      <c r="BJ454" s="182"/>
      <c r="BK454" s="182"/>
      <c r="BL454" s="182"/>
      <c r="BM454" s="182"/>
      <c r="BN454" s="182"/>
      <c r="BO454" s="196"/>
      <c r="BP454" s="182"/>
      <c r="BQ454" s="182"/>
      <c r="BR454" s="182"/>
      <c r="BS454" s="182"/>
      <c r="BT454" s="182"/>
      <c r="BU454" s="182"/>
      <c r="BV454" s="182"/>
      <c r="BW454" s="182"/>
      <c r="BX454" s="182"/>
      <c r="BY454" s="182"/>
      <c r="BZ454" s="182"/>
      <c r="CA454" s="187"/>
      <c r="CB454" s="182"/>
      <c r="CC454" s="196"/>
      <c r="CD454" s="182"/>
      <c r="CE454" s="182"/>
      <c r="CF454" s="182"/>
      <c r="CG454" s="182"/>
      <c r="CH454" s="182"/>
      <c r="CI454" s="182"/>
      <c r="CJ454" s="182"/>
      <c r="CK454" s="182"/>
      <c r="CL454" s="182"/>
      <c r="CM454" s="182"/>
      <c r="CN454" s="182"/>
      <c r="CO454" s="182"/>
      <c r="CP454" s="182"/>
      <c r="CQ454" s="182"/>
      <c r="CR454" s="182"/>
      <c r="CS454" s="196"/>
      <c r="CT454" s="182"/>
      <c r="CU454" s="182"/>
      <c r="CV454" s="182"/>
      <c r="CW454" s="182">
        <v>0</v>
      </c>
      <c r="CX454" s="182"/>
      <c r="CY454" s="182"/>
      <c r="CZ454" s="182"/>
      <c r="DA454" s="196">
        <v>0</v>
      </c>
      <c r="DB454" s="188"/>
      <c r="DC454" s="196">
        <f t="shared" si="1955"/>
        <v>0</v>
      </c>
      <c r="DD454" s="182"/>
      <c r="DE454" s="187"/>
      <c r="DF454" s="182"/>
      <c r="DG454" s="182"/>
      <c r="DH454" s="189"/>
      <c r="DI454" s="182"/>
      <c r="DJ454" s="182"/>
      <c r="DK454" s="182"/>
      <c r="DL454" s="182"/>
      <c r="DM454" s="182"/>
      <c r="DN454" s="182"/>
      <c r="DO454" s="196"/>
      <c r="DP454" s="187"/>
      <c r="DQ454" s="187"/>
      <c r="DR454" s="183">
        <f t="shared" si="1865"/>
        <v>2</v>
      </c>
      <c r="DS454" s="183">
        <f t="shared" si="1865"/>
        <v>2216973.1975968</v>
      </c>
      <c r="DT454" s="182">
        <v>2</v>
      </c>
      <c r="DU454" s="182">
        <v>2216973.1975968</v>
      </c>
      <c r="DV454" s="167">
        <f t="shared" si="1800"/>
        <v>0</v>
      </c>
      <c r="DW454" s="167">
        <f t="shared" si="1800"/>
        <v>0</v>
      </c>
    </row>
    <row r="455" spans="1:127" s="6" customFormat="1" ht="45" x14ac:dyDescent="0.25">
      <c r="A455" s="154"/>
      <c r="B455" s="176">
        <v>404</v>
      </c>
      <c r="C455" s="310" t="s">
        <v>978</v>
      </c>
      <c r="D455" s="314" t="s">
        <v>979</v>
      </c>
      <c r="E455" s="158">
        <v>25969</v>
      </c>
      <c r="F455" s="315">
        <v>87.15</v>
      </c>
      <c r="G455" s="168">
        <v>1</v>
      </c>
      <c r="H455" s="169"/>
      <c r="I455" s="169"/>
      <c r="J455" s="169"/>
      <c r="K455" s="195">
        <v>2.0999999999999999E-3</v>
      </c>
      <c r="L455" s="180">
        <v>1.4</v>
      </c>
      <c r="M455" s="180">
        <v>1.68</v>
      </c>
      <c r="N455" s="180">
        <v>2.23</v>
      </c>
      <c r="O455" s="181">
        <v>2.57</v>
      </c>
      <c r="P455" s="311">
        <v>0</v>
      </c>
      <c r="Q455" s="196">
        <f t="shared" si="1944"/>
        <v>0</v>
      </c>
      <c r="R455" s="196"/>
      <c r="S455" s="196"/>
      <c r="T455" s="196"/>
      <c r="U455" s="196">
        <f t="shared" si="1954"/>
        <v>0</v>
      </c>
      <c r="V455" s="182"/>
      <c r="W455" s="196">
        <f t="shared" si="1945"/>
        <v>0</v>
      </c>
      <c r="X455" s="196"/>
      <c r="Y455" s="196">
        <v>0</v>
      </c>
      <c r="Z455" s="196"/>
      <c r="AA455" s="196">
        <v>0</v>
      </c>
      <c r="AB455" s="182">
        <f t="shared" si="1938"/>
        <v>0</v>
      </c>
      <c r="AC455" s="182">
        <f t="shared" si="1938"/>
        <v>0</v>
      </c>
      <c r="AD455" s="182"/>
      <c r="AE455" s="196">
        <f t="shared" si="1946"/>
        <v>0</v>
      </c>
      <c r="AF455" s="182"/>
      <c r="AG455" s="182"/>
      <c r="AH455" s="182"/>
      <c r="AI455" s="196">
        <f>(AH455*$E455*$F455*((1-$K455)+$K455*$L455*$G455))</f>
        <v>0</v>
      </c>
      <c r="AJ455" s="196"/>
      <c r="AK455" s="196"/>
      <c r="AL455" s="182"/>
      <c r="AM455" s="182"/>
      <c r="AN455" s="205"/>
      <c r="AO455" s="196">
        <f t="shared" si="1948"/>
        <v>0</v>
      </c>
      <c r="AP455" s="182"/>
      <c r="AQ455" s="196">
        <f t="shared" si="1949"/>
        <v>0</v>
      </c>
      <c r="AR455" s="182"/>
      <c r="AS455" s="196">
        <f t="shared" si="1950"/>
        <v>0</v>
      </c>
      <c r="AT455" s="182"/>
      <c r="AU455" s="196">
        <f t="shared" si="1951"/>
        <v>0</v>
      </c>
      <c r="AV455" s="188"/>
      <c r="AW455" s="196">
        <f t="shared" si="1952"/>
        <v>0</v>
      </c>
      <c r="AX455" s="182"/>
      <c r="AY455" s="196">
        <f t="shared" si="1953"/>
        <v>0</v>
      </c>
      <c r="AZ455" s="182"/>
      <c r="BA455" s="182"/>
      <c r="BB455" s="182"/>
      <c r="BC455" s="182"/>
      <c r="BD455" s="182"/>
      <c r="BE455" s="182"/>
      <c r="BF455" s="182"/>
      <c r="BG455" s="182"/>
      <c r="BH455" s="182"/>
      <c r="BI455" s="182"/>
      <c r="BJ455" s="182"/>
      <c r="BK455" s="182"/>
      <c r="BL455" s="182"/>
      <c r="BM455" s="182"/>
      <c r="BN455" s="182"/>
      <c r="BO455" s="196"/>
      <c r="BP455" s="182"/>
      <c r="BQ455" s="182"/>
      <c r="BR455" s="182"/>
      <c r="BS455" s="182"/>
      <c r="BT455" s="182"/>
      <c r="BU455" s="182"/>
      <c r="BV455" s="182"/>
      <c r="BW455" s="182"/>
      <c r="BX455" s="182"/>
      <c r="BY455" s="182"/>
      <c r="BZ455" s="182"/>
      <c r="CA455" s="187"/>
      <c r="CB455" s="182"/>
      <c r="CC455" s="196"/>
      <c r="CD455" s="182"/>
      <c r="CE455" s="182"/>
      <c r="CF455" s="182"/>
      <c r="CG455" s="182"/>
      <c r="CH455" s="182"/>
      <c r="CI455" s="182"/>
      <c r="CJ455" s="182"/>
      <c r="CK455" s="182"/>
      <c r="CL455" s="182"/>
      <c r="CM455" s="182"/>
      <c r="CN455" s="182"/>
      <c r="CO455" s="182"/>
      <c r="CP455" s="182"/>
      <c r="CQ455" s="182"/>
      <c r="CR455" s="182"/>
      <c r="CS455" s="196"/>
      <c r="CT455" s="182"/>
      <c r="CU455" s="182"/>
      <c r="CV455" s="182"/>
      <c r="CW455" s="182">
        <v>0</v>
      </c>
      <c r="CX455" s="182"/>
      <c r="CY455" s="182"/>
      <c r="CZ455" s="182"/>
      <c r="DA455" s="196">
        <v>0</v>
      </c>
      <c r="DB455" s="188"/>
      <c r="DC455" s="196">
        <f t="shared" si="1955"/>
        <v>0</v>
      </c>
      <c r="DD455" s="182"/>
      <c r="DE455" s="187"/>
      <c r="DF455" s="182"/>
      <c r="DG455" s="182"/>
      <c r="DH455" s="189"/>
      <c r="DI455" s="182"/>
      <c r="DJ455" s="182"/>
      <c r="DK455" s="182"/>
      <c r="DL455" s="182"/>
      <c r="DM455" s="182"/>
      <c r="DN455" s="182"/>
      <c r="DO455" s="196"/>
      <c r="DP455" s="187"/>
      <c r="DQ455" s="187"/>
      <c r="DR455" s="183">
        <f t="shared" si="1865"/>
        <v>0</v>
      </c>
      <c r="DS455" s="183">
        <f t="shared" si="1865"/>
        <v>0</v>
      </c>
      <c r="DT455" s="182">
        <v>0</v>
      </c>
      <c r="DU455" s="182">
        <v>0</v>
      </c>
      <c r="DV455" s="167">
        <f t="shared" si="1800"/>
        <v>0</v>
      </c>
      <c r="DW455" s="167">
        <f t="shared" si="1800"/>
        <v>0</v>
      </c>
    </row>
    <row r="456" spans="1:127" ht="15.75" customHeight="1" x14ac:dyDescent="0.25">
      <c r="A456" s="170">
        <v>37</v>
      </c>
      <c r="B456" s="197"/>
      <c r="C456" s="198"/>
      <c r="D456" s="211" t="s">
        <v>980</v>
      </c>
      <c r="E456" s="158">
        <v>25969</v>
      </c>
      <c r="F456" s="199">
        <v>1.75</v>
      </c>
      <c r="G456" s="171"/>
      <c r="H456" s="169"/>
      <c r="I456" s="169"/>
      <c r="J456" s="169"/>
      <c r="K456" s="173"/>
      <c r="L456" s="174">
        <v>1.4</v>
      </c>
      <c r="M456" s="174">
        <v>1.68</v>
      </c>
      <c r="N456" s="174">
        <v>2.23</v>
      </c>
      <c r="O456" s="175">
        <v>2.57</v>
      </c>
      <c r="P456" s="166">
        <f t="shared" ref="P456:AD456" si="1957">SUM(P457:P482)</f>
        <v>603</v>
      </c>
      <c r="Q456" s="166">
        <f t="shared" si="1957"/>
        <v>41860298.464600012</v>
      </c>
      <c r="R456" s="166">
        <f t="shared" ref="R456" si="1958">SUM(R457:R482)</f>
        <v>281</v>
      </c>
      <c r="S456" s="280">
        <f t="shared" si="1957"/>
        <v>48824914.186999999</v>
      </c>
      <c r="T456" s="166">
        <f t="shared" si="1957"/>
        <v>0</v>
      </c>
      <c r="U456" s="166">
        <f t="shared" si="1957"/>
        <v>0</v>
      </c>
      <c r="V456" s="166">
        <f t="shared" si="1957"/>
        <v>0</v>
      </c>
      <c r="W456" s="166">
        <f t="shared" si="1957"/>
        <v>0</v>
      </c>
      <c r="X456" s="166">
        <v>0</v>
      </c>
      <c r="Y456" s="166">
        <v>0</v>
      </c>
      <c r="Z456" s="166">
        <v>0</v>
      </c>
      <c r="AA456" s="166">
        <v>0</v>
      </c>
      <c r="AB456" s="166">
        <f t="shared" si="1957"/>
        <v>0</v>
      </c>
      <c r="AC456" s="166">
        <f t="shared" si="1957"/>
        <v>0</v>
      </c>
      <c r="AD456" s="166">
        <f t="shared" si="1957"/>
        <v>0</v>
      </c>
      <c r="AE456" s="166">
        <f t="shared" ref="AE456:CP456" si="1959">SUM(AE457:AE482)</f>
        <v>0</v>
      </c>
      <c r="AF456" s="166">
        <f t="shared" si="1959"/>
        <v>0</v>
      </c>
      <c r="AG456" s="166">
        <f t="shared" si="1959"/>
        <v>0</v>
      </c>
      <c r="AH456" s="166">
        <f t="shared" si="1959"/>
        <v>0</v>
      </c>
      <c r="AI456" s="166">
        <f t="shared" si="1959"/>
        <v>0</v>
      </c>
      <c r="AJ456" s="166">
        <f>SUM(AJ457:AJ482)</f>
        <v>0</v>
      </c>
      <c r="AK456" s="166">
        <f>SUM(AK457:AK482)</f>
        <v>0</v>
      </c>
      <c r="AL456" s="166">
        <f t="shared" si="1959"/>
        <v>0</v>
      </c>
      <c r="AM456" s="166">
        <f t="shared" si="1959"/>
        <v>0</v>
      </c>
      <c r="AN456" s="166">
        <f t="shared" si="1959"/>
        <v>0</v>
      </c>
      <c r="AO456" s="166">
        <f t="shared" si="1959"/>
        <v>0</v>
      </c>
      <c r="AP456" s="166">
        <f t="shared" si="1959"/>
        <v>0</v>
      </c>
      <c r="AQ456" s="166">
        <f t="shared" si="1959"/>
        <v>0</v>
      </c>
      <c r="AR456" s="166">
        <f t="shared" si="1959"/>
        <v>0</v>
      </c>
      <c r="AS456" s="166">
        <f t="shared" si="1959"/>
        <v>0</v>
      </c>
      <c r="AT456" s="166">
        <f t="shared" si="1959"/>
        <v>0</v>
      </c>
      <c r="AU456" s="166">
        <f t="shared" si="1959"/>
        <v>0</v>
      </c>
      <c r="AV456" s="166">
        <f t="shared" si="1959"/>
        <v>0</v>
      </c>
      <c r="AW456" s="166">
        <f t="shared" si="1959"/>
        <v>0</v>
      </c>
      <c r="AX456" s="166">
        <f t="shared" si="1959"/>
        <v>0</v>
      </c>
      <c r="AY456" s="166">
        <f t="shared" si="1959"/>
        <v>0</v>
      </c>
      <c r="AZ456" s="166">
        <f t="shared" si="1959"/>
        <v>0</v>
      </c>
      <c r="BA456" s="166">
        <f t="shared" si="1959"/>
        <v>0</v>
      </c>
      <c r="BB456" s="166">
        <f t="shared" si="1959"/>
        <v>0</v>
      </c>
      <c r="BC456" s="166">
        <f t="shared" si="1959"/>
        <v>0</v>
      </c>
      <c r="BD456" s="166">
        <f t="shared" si="1959"/>
        <v>2800</v>
      </c>
      <c r="BE456" s="166">
        <f t="shared" si="1959"/>
        <v>131695239.31200001</v>
      </c>
      <c r="BF456" s="166">
        <f t="shared" si="1959"/>
        <v>0</v>
      </c>
      <c r="BG456" s="166">
        <f t="shared" si="1959"/>
        <v>0</v>
      </c>
      <c r="BH456" s="166">
        <f t="shared" si="1959"/>
        <v>0</v>
      </c>
      <c r="BI456" s="166">
        <f t="shared" si="1959"/>
        <v>0</v>
      </c>
      <c r="BJ456" s="166">
        <f t="shared" si="1959"/>
        <v>0</v>
      </c>
      <c r="BK456" s="166">
        <f t="shared" si="1959"/>
        <v>0</v>
      </c>
      <c r="BL456" s="166">
        <f t="shared" si="1959"/>
        <v>0</v>
      </c>
      <c r="BM456" s="166">
        <f t="shared" si="1959"/>
        <v>0</v>
      </c>
      <c r="BN456" s="166">
        <f t="shared" si="1959"/>
        <v>0</v>
      </c>
      <c r="BO456" s="166">
        <f t="shared" si="1959"/>
        <v>0</v>
      </c>
      <c r="BP456" s="166">
        <f t="shared" si="1959"/>
        <v>0</v>
      </c>
      <c r="BQ456" s="166">
        <f t="shared" si="1959"/>
        <v>0</v>
      </c>
      <c r="BR456" s="166">
        <f t="shared" si="1959"/>
        <v>0</v>
      </c>
      <c r="BS456" s="166">
        <f t="shared" si="1959"/>
        <v>0</v>
      </c>
      <c r="BT456" s="166">
        <f t="shared" si="1959"/>
        <v>0</v>
      </c>
      <c r="BU456" s="166">
        <f t="shared" si="1959"/>
        <v>0</v>
      </c>
      <c r="BV456" s="166">
        <f t="shared" si="1959"/>
        <v>0</v>
      </c>
      <c r="BW456" s="166">
        <f t="shared" si="1959"/>
        <v>0</v>
      </c>
      <c r="BX456" s="166">
        <f t="shared" si="1959"/>
        <v>0</v>
      </c>
      <c r="BY456" s="166">
        <f t="shared" si="1959"/>
        <v>0</v>
      </c>
      <c r="BZ456" s="166">
        <f t="shared" si="1959"/>
        <v>0</v>
      </c>
      <c r="CA456" s="166">
        <f t="shared" si="1959"/>
        <v>0</v>
      </c>
      <c r="CB456" s="166">
        <f t="shared" si="1959"/>
        <v>0</v>
      </c>
      <c r="CC456" s="166">
        <f t="shared" si="1959"/>
        <v>0</v>
      </c>
      <c r="CD456" s="166">
        <f t="shared" si="1959"/>
        <v>0</v>
      </c>
      <c r="CE456" s="166">
        <f t="shared" si="1959"/>
        <v>0</v>
      </c>
      <c r="CF456" s="166">
        <f t="shared" si="1959"/>
        <v>0</v>
      </c>
      <c r="CG456" s="166">
        <f t="shared" si="1959"/>
        <v>0</v>
      </c>
      <c r="CH456" s="166">
        <f t="shared" si="1959"/>
        <v>0</v>
      </c>
      <c r="CI456" s="166">
        <f t="shared" si="1959"/>
        <v>0</v>
      </c>
      <c r="CJ456" s="166">
        <f t="shared" si="1959"/>
        <v>0</v>
      </c>
      <c r="CK456" s="166">
        <f t="shared" si="1959"/>
        <v>0</v>
      </c>
      <c r="CL456" s="166">
        <f t="shared" si="1959"/>
        <v>0</v>
      </c>
      <c r="CM456" s="166">
        <f t="shared" si="1959"/>
        <v>0</v>
      </c>
      <c r="CN456" s="166">
        <f t="shared" si="1959"/>
        <v>0</v>
      </c>
      <c r="CO456" s="166">
        <f t="shared" si="1959"/>
        <v>0</v>
      </c>
      <c r="CP456" s="166">
        <f t="shared" si="1959"/>
        <v>0</v>
      </c>
      <c r="CQ456" s="166">
        <f t="shared" ref="CQ456:DQ456" si="1960">SUM(CQ457:CQ482)</f>
        <v>0</v>
      </c>
      <c r="CR456" s="166">
        <f t="shared" si="1960"/>
        <v>0</v>
      </c>
      <c r="CS456" s="166">
        <f t="shared" si="1960"/>
        <v>0</v>
      </c>
      <c r="CT456" s="166">
        <f t="shared" si="1960"/>
        <v>0</v>
      </c>
      <c r="CU456" s="166">
        <f t="shared" si="1960"/>
        <v>0</v>
      </c>
      <c r="CV456" s="166">
        <f t="shared" si="1960"/>
        <v>0</v>
      </c>
      <c r="CW456" s="166">
        <v>0</v>
      </c>
      <c r="CX456" s="166">
        <f t="shared" si="1960"/>
        <v>0</v>
      </c>
      <c r="CY456" s="166">
        <f t="shared" si="1960"/>
        <v>0</v>
      </c>
      <c r="CZ456" s="166">
        <f t="shared" si="1960"/>
        <v>0</v>
      </c>
      <c r="DA456" s="166">
        <v>0</v>
      </c>
      <c r="DB456" s="166">
        <f t="shared" si="1960"/>
        <v>0</v>
      </c>
      <c r="DC456" s="166">
        <f t="shared" si="1960"/>
        <v>0</v>
      </c>
      <c r="DD456" s="166">
        <f t="shared" si="1960"/>
        <v>0</v>
      </c>
      <c r="DE456" s="166">
        <f t="shared" si="1960"/>
        <v>0</v>
      </c>
      <c r="DF456" s="166">
        <f t="shared" si="1960"/>
        <v>0</v>
      </c>
      <c r="DG456" s="166">
        <f t="shared" si="1960"/>
        <v>0</v>
      </c>
      <c r="DH456" s="166">
        <f t="shared" si="1960"/>
        <v>0</v>
      </c>
      <c r="DI456" s="166">
        <f t="shared" si="1960"/>
        <v>0</v>
      </c>
      <c r="DJ456" s="166">
        <f t="shared" si="1960"/>
        <v>0</v>
      </c>
      <c r="DK456" s="166">
        <f t="shared" si="1960"/>
        <v>0</v>
      </c>
      <c r="DL456" s="166">
        <f t="shared" si="1960"/>
        <v>0</v>
      </c>
      <c r="DM456" s="166">
        <f t="shared" si="1960"/>
        <v>0</v>
      </c>
      <c r="DN456" s="166">
        <f t="shared" si="1960"/>
        <v>0</v>
      </c>
      <c r="DO456" s="166">
        <f t="shared" si="1960"/>
        <v>0</v>
      </c>
      <c r="DP456" s="166">
        <f t="shared" si="1960"/>
        <v>0</v>
      </c>
      <c r="DQ456" s="166">
        <f t="shared" si="1960"/>
        <v>0</v>
      </c>
      <c r="DR456" s="166">
        <f>SUM(DR457:DR482)</f>
        <v>3684</v>
      </c>
      <c r="DS456" s="166">
        <f t="shared" ref="DS456" si="1961">SUM(DS457:DS482)</f>
        <v>222380451.96359998</v>
      </c>
      <c r="DT456" s="166">
        <v>3665</v>
      </c>
      <c r="DU456" s="166">
        <v>222254876.26720005</v>
      </c>
      <c r="DV456" s="167">
        <f t="shared" si="1800"/>
        <v>19</v>
      </c>
      <c r="DW456" s="167">
        <f t="shared" si="1800"/>
        <v>125575.69639992714</v>
      </c>
    </row>
    <row r="457" spans="1:127" ht="45" customHeight="1" x14ac:dyDescent="0.25">
      <c r="A457" s="154"/>
      <c r="B457" s="176">
        <v>405</v>
      </c>
      <c r="C457" s="177" t="s">
        <v>981</v>
      </c>
      <c r="D457" s="210" t="s">
        <v>982</v>
      </c>
      <c r="E457" s="158">
        <v>25969</v>
      </c>
      <c r="F457" s="257">
        <v>1.53</v>
      </c>
      <c r="G457" s="168">
        <v>1</v>
      </c>
      <c r="H457" s="169"/>
      <c r="I457" s="169"/>
      <c r="J457" s="169"/>
      <c r="K457" s="106"/>
      <c r="L457" s="180">
        <v>1.4</v>
      </c>
      <c r="M457" s="180">
        <v>1.68</v>
      </c>
      <c r="N457" s="180">
        <v>2.23</v>
      </c>
      <c r="O457" s="181">
        <v>2.57</v>
      </c>
      <c r="P457" s="182">
        <v>248</v>
      </c>
      <c r="Q457" s="182">
        <f>(P457*$E457*$F457*$G457*$L457*$Q$12)</f>
        <v>15174663.134399999</v>
      </c>
      <c r="R457" s="182">
        <v>11</v>
      </c>
      <c r="S457" s="182">
        <f>(R457*$E457*$F457*$G457*$L457*$S$12)</f>
        <v>673069.73580000002</v>
      </c>
      <c r="T457" s="182"/>
      <c r="U457" s="182">
        <f t="shared" ref="U457:U459" si="1962">(T457/12*11*$E457*$F457*$G457*$L457*$U$12)+(T457/12*1*$E457*$F457*$G457*$L457*$U$14)</f>
        <v>0</v>
      </c>
      <c r="V457" s="182"/>
      <c r="W457" s="183">
        <f t="shared" ref="W457:W459" si="1963">(V457*$E457*$F457*$G457*$L457*$W$12)/12*10+(V457*$E457*$F457*$G457*$L457*$W$13)/12*1++(V457*$E457*$F457*$G457*$L457*$W$14)/12*1</f>
        <v>0</v>
      </c>
      <c r="X457" s="183"/>
      <c r="Y457" s="183">
        <v>0</v>
      </c>
      <c r="Z457" s="183"/>
      <c r="AA457" s="183">
        <v>0</v>
      </c>
      <c r="AB457" s="182">
        <f t="shared" ref="AB457:AC459" si="1964">X457+Z457</f>
        <v>0</v>
      </c>
      <c r="AC457" s="182">
        <f t="shared" si="1964"/>
        <v>0</v>
      </c>
      <c r="AD457" s="182"/>
      <c r="AE457" s="182">
        <f>(AD457*$E457*$F457*$G457*$L457*$AE$12)</f>
        <v>0</v>
      </c>
      <c r="AF457" s="182"/>
      <c r="AG457" s="182"/>
      <c r="AH457" s="182"/>
      <c r="AI457" s="182">
        <f>(AH457*$E457*$F457*$G457*$L457*$AI$12)</f>
        <v>0</v>
      </c>
      <c r="AJ457" s="182"/>
      <c r="AK457" s="182"/>
      <c r="AL457" s="182"/>
      <c r="AM457" s="182"/>
      <c r="AN457" s="184"/>
      <c r="AO457" s="182">
        <f>(AN457*$E457*$F457*$G457*$L457*$AO$12)</f>
        <v>0</v>
      </c>
      <c r="AP457" s="182"/>
      <c r="AQ457" s="183">
        <f>(AP457*$E457*$F457*$G457*$L457*$AQ$12)</f>
        <v>0</v>
      </c>
      <c r="AR457" s="182"/>
      <c r="AS457" s="182">
        <f t="shared" ref="AS457:AS459" si="1965">(AR457*$E457*$F457*$G457*$L457*$AS$12)/12*10+(AR457*$E457*$F457*$G457*$L457*$AS$13)/12*1+(AR457*$E457*$F457*$G457*$L457*$AS$14)/12*1</f>
        <v>0</v>
      </c>
      <c r="AT457" s="182"/>
      <c r="AU457" s="182">
        <f>(AT457*$E457*$F457*$G457*$M457*$AU$12)</f>
        <v>0</v>
      </c>
      <c r="AV457" s="188"/>
      <c r="AW457" s="182">
        <f>(AV457*$E457*$F457*$G457*$M457*$AW$12)</f>
        <v>0</v>
      </c>
      <c r="AX457" s="182"/>
      <c r="AY457" s="187">
        <f>(AX457*$E457*$F457*$G457*$M457*$AY$12)</f>
        <v>0</v>
      </c>
      <c r="AZ457" s="182"/>
      <c r="BA457" s="182">
        <f>(AZ457*$E457*$F457*$G457*$L457*$BA$12)</f>
        <v>0</v>
      </c>
      <c r="BB457" s="182"/>
      <c r="BC457" s="182">
        <f>(BB457*$E457*$F457*$G457*$L457*$BC$12)</f>
        <v>0</v>
      </c>
      <c r="BD457" s="182">
        <v>20</v>
      </c>
      <c r="BE457" s="182">
        <f>(BD457*$E457*$F457*$G457*$L457*$BE$12)</f>
        <v>1001260.764</v>
      </c>
      <c r="BF457" s="182"/>
      <c r="BG457" s="182">
        <f>(BF457*$E457*$F457*$G457*$L457*$BG$12)</f>
        <v>0</v>
      </c>
      <c r="BH457" s="182"/>
      <c r="BI457" s="183">
        <f>(BH457*$E457*$F457*$G457*$L457*$BI$12)</f>
        <v>0</v>
      </c>
      <c r="BJ457" s="182"/>
      <c r="BK457" s="183">
        <f>(BJ457*$E457*$F457*$G457*$L457*$BK$12)</f>
        <v>0</v>
      </c>
      <c r="BL457" s="182"/>
      <c r="BM457" s="182">
        <f>(BL457*$E457*$F457*$G457*$L457*$BM$12)</f>
        <v>0</v>
      </c>
      <c r="BN457" s="182"/>
      <c r="BO457" s="182">
        <f>(BN457*$E457*$F457*$G457*$M457*$BO$12)</f>
        <v>0</v>
      </c>
      <c r="BP457" s="182"/>
      <c r="BQ457" s="182">
        <f>(BP457*$E457*$F457*$G457*$M457*$BQ$12)</f>
        <v>0</v>
      </c>
      <c r="BR457" s="182"/>
      <c r="BS457" s="183">
        <f>(BR457*$E457*$F457*$G457*$M457*$BS$12)</f>
        <v>0</v>
      </c>
      <c r="BT457" s="182"/>
      <c r="BU457" s="182">
        <f>(BT457*$E457*$F457*$G457*$M457*$BU$12)</f>
        <v>0</v>
      </c>
      <c r="BV457" s="182"/>
      <c r="BW457" s="182">
        <f>(BV457*$E457*$F457*$G457*$M457*$BW$12)</f>
        <v>0</v>
      </c>
      <c r="BX457" s="182"/>
      <c r="BY457" s="183">
        <f>(BX457*$E457*$F457*$G457*$M457*$BY$12)</f>
        <v>0</v>
      </c>
      <c r="BZ457" s="182"/>
      <c r="CA457" s="187">
        <f>(BZ457*$E457*$F457*$G457*$M457*$CA$12)</f>
        <v>0</v>
      </c>
      <c r="CB457" s="182"/>
      <c r="CC457" s="182">
        <f>(CB457*$E457*$F457*$G457*$L457*$CC$12)</f>
        <v>0</v>
      </c>
      <c r="CD457" s="182"/>
      <c r="CE457" s="182">
        <f>(CD457*$E457*$F457*$G457*$L457*$CE$12)</f>
        <v>0</v>
      </c>
      <c r="CF457" s="182"/>
      <c r="CG457" s="182">
        <f>(CF457*$E457*$F457*$G457*$L457*$CG$12)</f>
        <v>0</v>
      </c>
      <c r="CH457" s="182"/>
      <c r="CI457" s="182">
        <f>(CH457*$E457*$F457*$G457*$M457*$CI$12)</f>
        <v>0</v>
      </c>
      <c r="CJ457" s="182"/>
      <c r="CK457" s="182"/>
      <c r="CL457" s="182"/>
      <c r="CM457" s="183">
        <f>(CL457*$E457*$F457*$G457*$L457*$CM$12)</f>
        <v>0</v>
      </c>
      <c r="CN457" s="182"/>
      <c r="CO457" s="183">
        <f>(CN457*$E457*$F457*$G457*$L457*$CO$12)</f>
        <v>0</v>
      </c>
      <c r="CP457" s="182"/>
      <c r="CQ457" s="182">
        <f>(CP457*$E457*$F457*$G457*$L457*$CQ$12)</f>
        <v>0</v>
      </c>
      <c r="CR457" s="182"/>
      <c r="CS457" s="182">
        <f>(CR457*$E457*$F457*$G457*$L457*$CS$12)</f>
        <v>0</v>
      </c>
      <c r="CT457" s="182"/>
      <c r="CU457" s="182">
        <f>(CT457*$E457*$F457*$G457*$L457*$CU$12)</f>
        <v>0</v>
      </c>
      <c r="CV457" s="182"/>
      <c r="CW457" s="182">
        <v>0</v>
      </c>
      <c r="CX457" s="182"/>
      <c r="CY457" s="182">
        <f>(CX457*$E457*$F457*$G457*$M457*$CY$12)</f>
        <v>0</v>
      </c>
      <c r="CZ457" s="182"/>
      <c r="DA457" s="182">
        <v>0</v>
      </c>
      <c r="DB457" s="188"/>
      <c r="DC457" s="182">
        <f>(DB457*$E457*$F457*$G457*$M457*$DC$12)</f>
        <v>0</v>
      </c>
      <c r="DD457" s="182"/>
      <c r="DE457" s="182"/>
      <c r="DF457" s="189"/>
      <c r="DG457" s="182">
        <f>(DF457*$E457*$F457*$G457*$M457*$DG$12)</f>
        <v>0</v>
      </c>
      <c r="DH457" s="189"/>
      <c r="DI457" s="182">
        <f>(DH457*$E457*$F457*$G457*$M457*$DI$12)</f>
        <v>0</v>
      </c>
      <c r="DJ457" s="182"/>
      <c r="DK457" s="182">
        <f>(DJ457*$E457*$F457*$G457*$M457*$DK$12)</f>
        <v>0</v>
      </c>
      <c r="DL457" s="182"/>
      <c r="DM457" s="182">
        <f>(DL457*$E457*$F457*$G457*$N457*$DM$12)</f>
        <v>0</v>
      </c>
      <c r="DN457" s="182"/>
      <c r="DO457" s="190">
        <f>(DN457*$E457*$F457*$G457*$O457*$DO$12)</f>
        <v>0</v>
      </c>
      <c r="DP457" s="187"/>
      <c r="DQ457" s="187"/>
      <c r="DR457" s="183">
        <f t="shared" ref="DR457:DS482" si="1966">SUM(P457,R457,T457,V457,AB457,AJ457,AD457,AF457,AH457,AL457,AN457,AP457,AV457,AZ457,BB457,CF457,AR457,BF457,BH457,BJ457,CT457,BL457,BN457,AT457,BR457,AX457,CV457,BT457,CX457,BV457,BX457,BZ457,CH457,CB457,CD457,CJ457,CL457,CN457,CP457,CR457,CZ457,DB457,BP457,BD457,DD457,DF457,DH457,DJ457,DL457,DN457,DP457)</f>
        <v>279</v>
      </c>
      <c r="DS457" s="183">
        <f t="shared" si="1966"/>
        <v>16848993.634199999</v>
      </c>
      <c r="DT457" s="182">
        <v>279</v>
      </c>
      <c r="DU457" s="182">
        <v>16848993.634199999</v>
      </c>
      <c r="DV457" s="167">
        <f t="shared" si="1800"/>
        <v>0</v>
      </c>
      <c r="DW457" s="167">
        <f t="shared" si="1800"/>
        <v>0</v>
      </c>
    </row>
    <row r="458" spans="1:127" ht="45" customHeight="1" x14ac:dyDescent="0.25">
      <c r="A458" s="154"/>
      <c r="B458" s="176">
        <v>406</v>
      </c>
      <c r="C458" s="177" t="s">
        <v>983</v>
      </c>
      <c r="D458" s="210" t="s">
        <v>984</v>
      </c>
      <c r="E458" s="158">
        <v>25969</v>
      </c>
      <c r="F458" s="257">
        <v>3.4</v>
      </c>
      <c r="G458" s="168">
        <v>1</v>
      </c>
      <c r="H458" s="169"/>
      <c r="I458" s="169"/>
      <c r="J458" s="169"/>
      <c r="K458" s="106"/>
      <c r="L458" s="180">
        <v>1.4</v>
      </c>
      <c r="M458" s="180">
        <v>1.68</v>
      </c>
      <c r="N458" s="180">
        <v>2.23</v>
      </c>
      <c r="O458" s="181">
        <v>2.57</v>
      </c>
      <c r="P458" s="182">
        <v>50</v>
      </c>
      <c r="Q458" s="182">
        <f>(P458*$E458*$F458*$G458*$L458*$Q$12)</f>
        <v>6798684.2000000002</v>
      </c>
      <c r="R458" s="182">
        <v>107</v>
      </c>
      <c r="S458" s="182">
        <f>(R458*$E458*$F458*$G458*$L458*$S$12)</f>
        <v>14549184.187999999</v>
      </c>
      <c r="T458" s="182"/>
      <c r="U458" s="182">
        <f t="shared" si="1962"/>
        <v>0</v>
      </c>
      <c r="V458" s="182"/>
      <c r="W458" s="183">
        <f t="shared" si="1963"/>
        <v>0</v>
      </c>
      <c r="X458" s="183"/>
      <c r="Y458" s="183">
        <v>0</v>
      </c>
      <c r="Z458" s="183"/>
      <c r="AA458" s="183">
        <v>0</v>
      </c>
      <c r="AB458" s="182">
        <f t="shared" si="1964"/>
        <v>0</v>
      </c>
      <c r="AC458" s="182">
        <f t="shared" si="1964"/>
        <v>0</v>
      </c>
      <c r="AD458" s="182"/>
      <c r="AE458" s="182">
        <f>(AD458*$E458*$F458*$G458*$L458*$AE$12)</f>
        <v>0</v>
      </c>
      <c r="AF458" s="182"/>
      <c r="AG458" s="182"/>
      <c r="AH458" s="182"/>
      <c r="AI458" s="182">
        <f>(AH458*$E458*$F458*$G458*$L458*$AI$12)</f>
        <v>0</v>
      </c>
      <c r="AJ458" s="182"/>
      <c r="AK458" s="182"/>
      <c r="AL458" s="182"/>
      <c r="AM458" s="182"/>
      <c r="AN458" s="184"/>
      <c r="AO458" s="182">
        <f>(AN458*$E458*$F458*$G458*$L458*$AO$12)</f>
        <v>0</v>
      </c>
      <c r="AP458" s="182"/>
      <c r="AQ458" s="183">
        <f>(AP458*$E458*$F458*$G458*$L458*$AQ$12)</f>
        <v>0</v>
      </c>
      <c r="AR458" s="182"/>
      <c r="AS458" s="182">
        <f t="shared" si="1965"/>
        <v>0</v>
      </c>
      <c r="AT458" s="182"/>
      <c r="AU458" s="182">
        <f>(AT458*$E458*$F458*$G458*$M458*$AU$12)</f>
        <v>0</v>
      </c>
      <c r="AV458" s="188"/>
      <c r="AW458" s="182">
        <f>(AV458*$E458*$F458*$G458*$M458*$AW$12)</f>
        <v>0</v>
      </c>
      <c r="AX458" s="182"/>
      <c r="AY458" s="187">
        <f>(AX458*$E458*$F458*$G458*$M458*$AY$12)</f>
        <v>0</v>
      </c>
      <c r="AZ458" s="182"/>
      <c r="BA458" s="182">
        <f>(AZ458*$E458*$F458*$G458*$L458*$BA$12)</f>
        <v>0</v>
      </c>
      <c r="BB458" s="182"/>
      <c r="BC458" s="182">
        <f>(BB458*$E458*$F458*$G458*$L458*$BC$12)</f>
        <v>0</v>
      </c>
      <c r="BD458" s="182">
        <v>10</v>
      </c>
      <c r="BE458" s="182">
        <f>(BD458*$E458*$F458*$G458*$L458*$BE$12)</f>
        <v>1112511.96</v>
      </c>
      <c r="BF458" s="182"/>
      <c r="BG458" s="182">
        <f>(BF458*$E458*$F458*$G458*$L458*$BG$12)</f>
        <v>0</v>
      </c>
      <c r="BH458" s="182"/>
      <c r="BI458" s="183">
        <f>(BH458*$E458*$F458*$G458*$L458*$BI$12)</f>
        <v>0</v>
      </c>
      <c r="BJ458" s="182"/>
      <c r="BK458" s="183">
        <f>(BJ458*$E458*$F458*$G458*$L458*$BK$12)</f>
        <v>0</v>
      </c>
      <c r="BL458" s="182"/>
      <c r="BM458" s="182">
        <f>(BL458*$E458*$F458*$G458*$L458*$BM$12)</f>
        <v>0</v>
      </c>
      <c r="BN458" s="182"/>
      <c r="BO458" s="182">
        <f>(BN458*$E458*$F458*$G458*$M458*$BO$12)</f>
        <v>0</v>
      </c>
      <c r="BP458" s="182"/>
      <c r="BQ458" s="182">
        <f>(BP458*$E458*$F458*$G458*$M458*$BQ$12)</f>
        <v>0</v>
      </c>
      <c r="BR458" s="182"/>
      <c r="BS458" s="183">
        <f>(BR458*$E458*$F458*$G458*$M458*$BS$12)</f>
        <v>0</v>
      </c>
      <c r="BT458" s="182"/>
      <c r="BU458" s="182">
        <f>(BT458*$E458*$F458*$G458*$M458*$BU$12)</f>
        <v>0</v>
      </c>
      <c r="BV458" s="182"/>
      <c r="BW458" s="182">
        <f>(BV458*$E458*$F458*$G458*$M458*$BW$12)</f>
        <v>0</v>
      </c>
      <c r="BX458" s="182"/>
      <c r="BY458" s="183">
        <f>(BX458*$E458*$F458*$G458*$M458*$BY$12)</f>
        <v>0</v>
      </c>
      <c r="BZ458" s="182"/>
      <c r="CA458" s="187">
        <f>(BZ458*$E458*$F458*$G458*$M458*$CA$12)</f>
        <v>0</v>
      </c>
      <c r="CB458" s="182"/>
      <c r="CC458" s="182">
        <f>(CB458*$E458*$F458*$G458*$L458*$CC$12)</f>
        <v>0</v>
      </c>
      <c r="CD458" s="182"/>
      <c r="CE458" s="182">
        <f>(CD458*$E458*$F458*$G458*$L458*$CE$12)</f>
        <v>0</v>
      </c>
      <c r="CF458" s="182"/>
      <c r="CG458" s="182">
        <f>(CF458*$E458*$F458*$G458*$L458*$CG$12)</f>
        <v>0</v>
      </c>
      <c r="CH458" s="182"/>
      <c r="CI458" s="182">
        <f>(CH458*$E458*$F458*$G458*$M458*$CI$12)</f>
        <v>0</v>
      </c>
      <c r="CJ458" s="182"/>
      <c r="CK458" s="182"/>
      <c r="CL458" s="182"/>
      <c r="CM458" s="183">
        <f>(CL458*$E458*$F458*$G458*$L458*$CM$12)</f>
        <v>0</v>
      </c>
      <c r="CN458" s="182"/>
      <c r="CO458" s="183">
        <f>(CN458*$E458*$F458*$G458*$L458*$CO$12)</f>
        <v>0</v>
      </c>
      <c r="CP458" s="182"/>
      <c r="CQ458" s="182">
        <f>(CP458*$E458*$F458*$G458*$L458*$CQ$12)</f>
        <v>0</v>
      </c>
      <c r="CR458" s="182"/>
      <c r="CS458" s="182">
        <f>(CR458*$E458*$F458*$G458*$L458*$CS$12)</f>
        <v>0</v>
      </c>
      <c r="CT458" s="182"/>
      <c r="CU458" s="182">
        <f>(CT458*$E458*$F458*$G458*$L458*$CU$12)</f>
        <v>0</v>
      </c>
      <c r="CV458" s="182"/>
      <c r="CW458" s="182">
        <v>0</v>
      </c>
      <c r="CX458" s="182"/>
      <c r="CY458" s="182">
        <f>(CX458*$E458*$F458*$G458*$M458*$CY$12)</f>
        <v>0</v>
      </c>
      <c r="CZ458" s="182"/>
      <c r="DA458" s="182">
        <v>0</v>
      </c>
      <c r="DB458" s="188"/>
      <c r="DC458" s="182">
        <f>(DB458*$E458*$F458*$G458*$M458*$DC$12)</f>
        <v>0</v>
      </c>
      <c r="DD458" s="182"/>
      <c r="DE458" s="182"/>
      <c r="DF458" s="189"/>
      <c r="DG458" s="182">
        <f>(DF458*$E458*$F458*$G458*$M458*$DG$12)</f>
        <v>0</v>
      </c>
      <c r="DH458" s="189"/>
      <c r="DI458" s="182">
        <f>(DH458*$E458*$F458*$G458*$M458*$DI$12)</f>
        <v>0</v>
      </c>
      <c r="DJ458" s="182"/>
      <c r="DK458" s="182">
        <f>(DJ458*$E458*$F458*$G458*$M458*$DK$12)</f>
        <v>0</v>
      </c>
      <c r="DL458" s="182"/>
      <c r="DM458" s="182">
        <f>(DL458*$E458*$F458*$G458*$N458*$DM$12)</f>
        <v>0</v>
      </c>
      <c r="DN458" s="182"/>
      <c r="DO458" s="190">
        <f>(DN458*$E458*$F458*$G458*$O458*$DO$12)</f>
        <v>0</v>
      </c>
      <c r="DP458" s="187"/>
      <c r="DQ458" s="187"/>
      <c r="DR458" s="183">
        <f t="shared" si="1966"/>
        <v>167</v>
      </c>
      <c r="DS458" s="183">
        <f t="shared" si="1966"/>
        <v>22460380.348000001</v>
      </c>
      <c r="DT458" s="182">
        <v>140</v>
      </c>
      <c r="DU458" s="182">
        <v>18789090.880000003</v>
      </c>
      <c r="DV458" s="167">
        <f t="shared" si="1800"/>
        <v>27</v>
      </c>
      <c r="DW458" s="167">
        <f t="shared" si="1800"/>
        <v>3671289.4679999985</v>
      </c>
    </row>
    <row r="459" spans="1:127" ht="45" customHeight="1" x14ac:dyDescent="0.25">
      <c r="A459" s="154"/>
      <c r="B459" s="176">
        <v>407</v>
      </c>
      <c r="C459" s="177" t="s">
        <v>985</v>
      </c>
      <c r="D459" s="210" t="s">
        <v>986</v>
      </c>
      <c r="E459" s="158">
        <v>25969</v>
      </c>
      <c r="F459" s="257">
        <v>4.8600000000000003</v>
      </c>
      <c r="G459" s="168">
        <v>1</v>
      </c>
      <c r="H459" s="169"/>
      <c r="I459" s="169"/>
      <c r="J459" s="169"/>
      <c r="K459" s="106"/>
      <c r="L459" s="180">
        <v>1.4</v>
      </c>
      <c r="M459" s="180">
        <v>1.68</v>
      </c>
      <c r="N459" s="180">
        <v>2.23</v>
      </c>
      <c r="O459" s="181">
        <v>2.57</v>
      </c>
      <c r="P459" s="182">
        <v>0</v>
      </c>
      <c r="Q459" s="182">
        <f>(P459*$E459*$F459*$G459*$L459*$Q$12)</f>
        <v>0</v>
      </c>
      <c r="R459" s="182">
        <v>145</v>
      </c>
      <c r="S459" s="182">
        <f>(R459*$E459*$F459*$G459*$L459*$S$12)</f>
        <v>28182545.622000001</v>
      </c>
      <c r="T459" s="182"/>
      <c r="U459" s="182">
        <f t="shared" si="1962"/>
        <v>0</v>
      </c>
      <c r="V459" s="182"/>
      <c r="W459" s="183">
        <f t="shared" si="1963"/>
        <v>0</v>
      </c>
      <c r="X459" s="183"/>
      <c r="Y459" s="183">
        <v>0</v>
      </c>
      <c r="Z459" s="183"/>
      <c r="AA459" s="183">
        <v>0</v>
      </c>
      <c r="AB459" s="182">
        <f t="shared" si="1964"/>
        <v>0</v>
      </c>
      <c r="AC459" s="182">
        <f t="shared" si="1964"/>
        <v>0</v>
      </c>
      <c r="AD459" s="182"/>
      <c r="AE459" s="182">
        <f>(AD459*$E459*$F459*$G459*$L459*$AE$12)</f>
        <v>0</v>
      </c>
      <c r="AF459" s="182"/>
      <c r="AG459" s="182"/>
      <c r="AH459" s="182"/>
      <c r="AI459" s="182">
        <f>(AH459*$E459*$F459*$G459*$L459*$AI$12)</f>
        <v>0</v>
      </c>
      <c r="AJ459" s="182"/>
      <c r="AK459" s="182"/>
      <c r="AL459" s="182"/>
      <c r="AM459" s="182"/>
      <c r="AN459" s="184"/>
      <c r="AO459" s="182">
        <f>(AN459*$E459*$F459*$G459*$L459*$AO$12)</f>
        <v>0</v>
      </c>
      <c r="AP459" s="182"/>
      <c r="AQ459" s="183">
        <f>(AP459*$E459*$F459*$G459*$L459*$AQ$12)</f>
        <v>0</v>
      </c>
      <c r="AR459" s="182"/>
      <c r="AS459" s="182">
        <f t="shared" si="1965"/>
        <v>0</v>
      </c>
      <c r="AT459" s="182"/>
      <c r="AU459" s="182">
        <f>(AT459*$E459*$F459*$G459*$M459*$AU$12)</f>
        <v>0</v>
      </c>
      <c r="AV459" s="188"/>
      <c r="AW459" s="182">
        <f>(AV459*$E459*$F459*$G459*$M459*$AW$12)</f>
        <v>0</v>
      </c>
      <c r="AX459" s="182"/>
      <c r="AY459" s="187">
        <f>(AX459*$E459*$F459*$G459*$M459*$AY$12)</f>
        <v>0</v>
      </c>
      <c r="AZ459" s="182"/>
      <c r="BA459" s="182">
        <f>(AZ459*$E459*$F459*$G459*$L459*$BA$12)</f>
        <v>0</v>
      </c>
      <c r="BB459" s="182"/>
      <c r="BC459" s="182">
        <f>(BB459*$E459*$F459*$G459*$L459*$BC$12)</f>
        <v>0</v>
      </c>
      <c r="BD459" s="182">
        <v>10</v>
      </c>
      <c r="BE459" s="182">
        <f>(BD459*$E459*$F459*$G459*$L459*$BE$12)</f>
        <v>1590237.6840000001</v>
      </c>
      <c r="BF459" s="182"/>
      <c r="BG459" s="182">
        <f>(BF459*$E459*$F459*$G459*$L459*$BG$12)</f>
        <v>0</v>
      </c>
      <c r="BH459" s="182"/>
      <c r="BI459" s="183">
        <f>(BH459*$E459*$F459*$G459*$L459*$BI$12)</f>
        <v>0</v>
      </c>
      <c r="BJ459" s="182"/>
      <c r="BK459" s="183">
        <f>(BJ459*$E459*$F459*$G459*$L459*$BK$12)</f>
        <v>0</v>
      </c>
      <c r="BL459" s="182"/>
      <c r="BM459" s="182">
        <f>(BL459*$E459*$F459*$G459*$L459*$BM$12)</f>
        <v>0</v>
      </c>
      <c r="BN459" s="182"/>
      <c r="BO459" s="182">
        <f>(BN459*$E459*$F459*$G459*$M459*$BO$12)</f>
        <v>0</v>
      </c>
      <c r="BP459" s="182"/>
      <c r="BQ459" s="182">
        <f>(BP459*$E459*$F459*$G459*$M459*$BQ$12)</f>
        <v>0</v>
      </c>
      <c r="BR459" s="182"/>
      <c r="BS459" s="183">
        <f>(BR459*$E459*$F459*$G459*$M459*$BS$12)</f>
        <v>0</v>
      </c>
      <c r="BT459" s="182"/>
      <c r="BU459" s="182">
        <f>(BT459*$E459*$F459*$G459*$M459*$BU$12)</f>
        <v>0</v>
      </c>
      <c r="BV459" s="182"/>
      <c r="BW459" s="182">
        <f>(BV459*$E459*$F459*$G459*$M459*$BW$12)</f>
        <v>0</v>
      </c>
      <c r="BX459" s="182"/>
      <c r="BY459" s="183">
        <f>(BX459*$E459*$F459*$G459*$M459*$BY$12)</f>
        <v>0</v>
      </c>
      <c r="BZ459" s="182"/>
      <c r="CA459" s="187">
        <f>(BZ459*$E459*$F459*$G459*$M459*$CA$12)</f>
        <v>0</v>
      </c>
      <c r="CB459" s="182"/>
      <c r="CC459" s="182">
        <f>(CB459*$E459*$F459*$G459*$L459*$CC$12)</f>
        <v>0</v>
      </c>
      <c r="CD459" s="182"/>
      <c r="CE459" s="182">
        <f>(CD459*$E459*$F459*$G459*$L459*$CE$12)</f>
        <v>0</v>
      </c>
      <c r="CF459" s="182"/>
      <c r="CG459" s="182">
        <f>(CF459*$E459*$F459*$G459*$L459*$CG$12)</f>
        <v>0</v>
      </c>
      <c r="CH459" s="182"/>
      <c r="CI459" s="182">
        <f>(CH459*$E459*$F459*$G459*$M459*$CI$12)</f>
        <v>0</v>
      </c>
      <c r="CJ459" s="182"/>
      <c r="CK459" s="182"/>
      <c r="CL459" s="182"/>
      <c r="CM459" s="183">
        <f>(CL459*$E459*$F459*$G459*$L459*$CM$12)</f>
        <v>0</v>
      </c>
      <c r="CN459" s="182"/>
      <c r="CO459" s="183">
        <f>(CN459*$E459*$F459*$G459*$L459*$CO$12)</f>
        <v>0</v>
      </c>
      <c r="CP459" s="182"/>
      <c r="CQ459" s="182">
        <f>(CP459*$E459*$F459*$G459*$L459*$CQ$12)</f>
        <v>0</v>
      </c>
      <c r="CR459" s="182"/>
      <c r="CS459" s="182">
        <f>(CR459*$E459*$F459*$G459*$L459*$CS$12)</f>
        <v>0</v>
      </c>
      <c r="CT459" s="182"/>
      <c r="CU459" s="182">
        <f>(CT459*$E459*$F459*$G459*$L459*$CU$12)</f>
        <v>0</v>
      </c>
      <c r="CV459" s="182"/>
      <c r="CW459" s="182">
        <v>0</v>
      </c>
      <c r="CX459" s="182"/>
      <c r="CY459" s="182">
        <f>(CX459*$E459*$F459*$G459*$M459*$CY$12)</f>
        <v>0</v>
      </c>
      <c r="CZ459" s="182"/>
      <c r="DA459" s="182">
        <v>0</v>
      </c>
      <c r="DB459" s="188"/>
      <c r="DC459" s="182">
        <f>(DB459*$E459*$F459*$G459*$M459*$DC$12)</f>
        <v>0</v>
      </c>
      <c r="DD459" s="182"/>
      <c r="DE459" s="182"/>
      <c r="DF459" s="189"/>
      <c r="DG459" s="182">
        <f>(DF459*$E459*$F459*$G459*$M459*$DG$12)</f>
        <v>0</v>
      </c>
      <c r="DH459" s="189"/>
      <c r="DI459" s="182">
        <f>(DH459*$E459*$F459*$G459*$M459*$DI$12)</f>
        <v>0</v>
      </c>
      <c r="DJ459" s="182"/>
      <c r="DK459" s="182">
        <f>(DJ459*$E459*$F459*$G459*$M459*$DK$12)</f>
        <v>0</v>
      </c>
      <c r="DL459" s="182"/>
      <c r="DM459" s="182">
        <f>(DL459*$E459*$F459*$G459*$N459*$DM$12)</f>
        <v>0</v>
      </c>
      <c r="DN459" s="182"/>
      <c r="DO459" s="190">
        <f>(DN459*$E459*$F459*$G459*$O459*$DO$12)</f>
        <v>0</v>
      </c>
      <c r="DP459" s="187"/>
      <c r="DQ459" s="187"/>
      <c r="DR459" s="183">
        <f t="shared" si="1966"/>
        <v>155</v>
      </c>
      <c r="DS459" s="183">
        <f t="shared" si="1966"/>
        <v>29772783.306000002</v>
      </c>
      <c r="DT459" s="182">
        <v>135</v>
      </c>
      <c r="DU459" s="182">
        <v>25885535.634000003</v>
      </c>
      <c r="DV459" s="167">
        <f t="shared" si="1800"/>
        <v>20</v>
      </c>
      <c r="DW459" s="167">
        <f t="shared" si="1800"/>
        <v>3887247.6719999984</v>
      </c>
    </row>
    <row r="460" spans="1:127" ht="45" customHeight="1" x14ac:dyDescent="0.25">
      <c r="A460" s="154"/>
      <c r="B460" s="176">
        <v>408</v>
      </c>
      <c r="C460" s="177" t="s">
        <v>987</v>
      </c>
      <c r="D460" s="210" t="s">
        <v>988</v>
      </c>
      <c r="E460" s="158">
        <v>25969</v>
      </c>
      <c r="F460" s="168">
        <v>8.6</v>
      </c>
      <c r="G460" s="168">
        <v>1</v>
      </c>
      <c r="H460" s="169"/>
      <c r="I460" s="169"/>
      <c r="J460" s="169"/>
      <c r="K460" s="106"/>
      <c r="L460" s="180">
        <v>1.4</v>
      </c>
      <c r="M460" s="180">
        <v>1.68</v>
      </c>
      <c r="N460" s="180">
        <v>2.23</v>
      </c>
      <c r="O460" s="181">
        <v>2.57</v>
      </c>
      <c r="P460" s="182">
        <v>1</v>
      </c>
      <c r="Q460" s="182">
        <f>(P460*$E460*$F460*$G460*$L460)</f>
        <v>312666.75999999995</v>
      </c>
      <c r="R460" s="182">
        <v>17</v>
      </c>
      <c r="S460" s="187">
        <f>(R460*$E460*$F460*$G460*$L460)</f>
        <v>5315334.919999999</v>
      </c>
      <c r="T460" s="182"/>
      <c r="U460" s="182">
        <f>(T460*$E460*$F460*$G460*$L460)</f>
        <v>0</v>
      </c>
      <c r="V460" s="182"/>
      <c r="W460" s="182">
        <f>(V460*$E460*$F460*$G460*$L460)</f>
        <v>0</v>
      </c>
      <c r="X460" s="182"/>
      <c r="Y460" s="182">
        <v>0</v>
      </c>
      <c r="Z460" s="182"/>
      <c r="AA460" s="182">
        <v>0</v>
      </c>
      <c r="AB460" s="182">
        <f>X460+Z460</f>
        <v>0</v>
      </c>
      <c r="AC460" s="182">
        <f>Y460+AA460</f>
        <v>0</v>
      </c>
      <c r="AD460" s="182"/>
      <c r="AE460" s="182">
        <f>(AD460*$E460*$F460*$G460*$L460)</f>
        <v>0</v>
      </c>
      <c r="AF460" s="182"/>
      <c r="AG460" s="182"/>
      <c r="AH460" s="182"/>
      <c r="AI460" s="182">
        <f>(AH460*$E460*$F460*$G460*$L460)</f>
        <v>0</v>
      </c>
      <c r="AJ460" s="182"/>
      <c r="AK460" s="182"/>
      <c r="AL460" s="182"/>
      <c r="AM460" s="182"/>
      <c r="AN460" s="184"/>
      <c r="AO460" s="182">
        <f>(AN460*$E460*$F460*$G460*$L460)</f>
        <v>0</v>
      </c>
      <c r="AP460" s="182"/>
      <c r="AQ460" s="182">
        <f>(AP460*$E460*$F460*$G460*$L460)</f>
        <v>0</v>
      </c>
      <c r="AR460" s="182"/>
      <c r="AS460" s="182">
        <f>(AR460*$E460*$F460*$G460*$L460)</f>
        <v>0</v>
      </c>
      <c r="AT460" s="182"/>
      <c r="AU460" s="183">
        <f>(AT460*$E460*$F460*$G460*$M460)</f>
        <v>0</v>
      </c>
      <c r="AV460" s="188"/>
      <c r="AW460" s="182">
        <f>(AV460*$E460*$F460*$G460*$M460)</f>
        <v>0</v>
      </c>
      <c r="AX460" s="182"/>
      <c r="AY460" s="187">
        <f>(AX460*$E460*$F460*$G460*$M460)</f>
        <v>0</v>
      </c>
      <c r="AZ460" s="182"/>
      <c r="BA460" s="182">
        <f>(AZ460*$E460*$F460*$G460*$L460*$AO$12)</f>
        <v>0</v>
      </c>
      <c r="BB460" s="182"/>
      <c r="BC460" s="182">
        <f>(BB460*$E460*$F460*$G460*$L460*BC$12)</f>
        <v>0</v>
      </c>
      <c r="BD460" s="182"/>
      <c r="BE460" s="182">
        <f>(BD460*$E460*$F460*$G460*$L460*BE$12)</f>
        <v>0</v>
      </c>
      <c r="BF460" s="182"/>
      <c r="BG460" s="182">
        <f>(BF460*$E460*$F460*$G460*$L460)</f>
        <v>0</v>
      </c>
      <c r="BH460" s="182"/>
      <c r="BI460" s="182">
        <f t="shared" ref="BI460" si="1967">(BH460*$E460*$F460*$G460*$L460)</f>
        <v>0</v>
      </c>
      <c r="BJ460" s="182"/>
      <c r="BK460" s="182"/>
      <c r="BL460" s="182"/>
      <c r="BM460" s="182">
        <f>(BL460*$E460*$F460*$G460*$L460)</f>
        <v>0</v>
      </c>
      <c r="BN460" s="182"/>
      <c r="BO460" s="182">
        <f>(BN460*$E460*$F460*$G460*$M460)</f>
        <v>0</v>
      </c>
      <c r="BP460" s="182"/>
      <c r="BQ460" s="182">
        <f>(BP460*$E460*$F460*$G460*$M460)</f>
        <v>0</v>
      </c>
      <c r="BR460" s="182"/>
      <c r="BS460" s="182">
        <f>(BR460*$E460*$F460*$G460*$M460)</f>
        <v>0</v>
      </c>
      <c r="BT460" s="182"/>
      <c r="BU460" s="182">
        <f>(BT460*$E460*$F460*$G460*$M460)</f>
        <v>0</v>
      </c>
      <c r="BV460" s="182"/>
      <c r="BW460" s="182">
        <f>(BV460*$E460*$F460*$G460*$M460)</f>
        <v>0</v>
      </c>
      <c r="BX460" s="182"/>
      <c r="BY460" s="182">
        <f>(BX460*$E460*$F460*$G460*$M460)</f>
        <v>0</v>
      </c>
      <c r="BZ460" s="182"/>
      <c r="CA460" s="187">
        <f>(BZ460*$E460*$F460*$G460*$M460)</f>
        <v>0</v>
      </c>
      <c r="CB460" s="182"/>
      <c r="CC460" s="182">
        <f>(CB460*$E460*$F460*$G460*$L460)</f>
        <v>0</v>
      </c>
      <c r="CD460" s="182"/>
      <c r="CE460" s="183">
        <f>(CD460*$E460*$F460*$G460*$L460)</f>
        <v>0</v>
      </c>
      <c r="CF460" s="182"/>
      <c r="CG460" s="182">
        <f>(CF460*$E460*$F460*$G460*$L460)</f>
        <v>0</v>
      </c>
      <c r="CH460" s="182"/>
      <c r="CI460" s="182">
        <f>(CH460*$E460*$F460*$G460*$M460)</f>
        <v>0</v>
      </c>
      <c r="CJ460" s="182"/>
      <c r="CK460" s="182"/>
      <c r="CL460" s="182"/>
      <c r="CM460" s="182">
        <f>(CL460*$E460*$F460*$G460*$L460)</f>
        <v>0</v>
      </c>
      <c r="CN460" s="182"/>
      <c r="CO460" s="182">
        <f>(CN460*$E460*$F460*$G460*$L460)</f>
        <v>0</v>
      </c>
      <c r="CP460" s="182"/>
      <c r="CQ460" s="182">
        <f>(CP460*$E460*$F460*$G460*$L460)</f>
        <v>0</v>
      </c>
      <c r="CR460" s="182"/>
      <c r="CS460" s="182">
        <f>(CR460*$E460*$F460*$G460*$L460)</f>
        <v>0</v>
      </c>
      <c r="CT460" s="182"/>
      <c r="CU460" s="182">
        <f>(CT460*$E460*$F460*$G460*$L460)</f>
        <v>0</v>
      </c>
      <c r="CV460" s="182"/>
      <c r="CW460" s="182">
        <v>0</v>
      </c>
      <c r="CX460" s="182"/>
      <c r="CY460" s="182">
        <f>(CX460*$E460*$F460*$G460*$M460)</f>
        <v>0</v>
      </c>
      <c r="CZ460" s="182"/>
      <c r="DA460" s="182">
        <v>0</v>
      </c>
      <c r="DB460" s="188"/>
      <c r="DC460" s="182">
        <f>(DB460*$E460*$F460*$G460*$M460)</f>
        <v>0</v>
      </c>
      <c r="DD460" s="182"/>
      <c r="DE460" s="187">
        <f>(DD460*$E460*$F460*$G460*$M460)</f>
        <v>0</v>
      </c>
      <c r="DF460" s="182"/>
      <c r="DG460" s="182"/>
      <c r="DH460" s="189"/>
      <c r="DI460" s="182">
        <f>(DH460*$E460*$F460*$G460*$M460)</f>
        <v>0</v>
      </c>
      <c r="DJ460" s="182"/>
      <c r="DK460" s="182">
        <f>(DJ460*$E460*$F460*$G460*$M460)</f>
        <v>0</v>
      </c>
      <c r="DL460" s="182"/>
      <c r="DM460" s="182">
        <f>(DL460*$E460*$F460*$G460*$N460)</f>
        <v>0</v>
      </c>
      <c r="DN460" s="182"/>
      <c r="DO460" s="187">
        <f>(DN460*$E460*$F460*$G460*$O460)</f>
        <v>0</v>
      </c>
      <c r="DP460" s="187"/>
      <c r="DQ460" s="187"/>
      <c r="DR460" s="183">
        <f t="shared" si="1966"/>
        <v>18</v>
      </c>
      <c r="DS460" s="183">
        <f t="shared" si="1966"/>
        <v>5628001.6799999988</v>
      </c>
      <c r="DT460" s="182">
        <v>40</v>
      </c>
      <c r="DU460" s="182">
        <v>12506670.399999999</v>
      </c>
      <c r="DV460" s="167">
        <f t="shared" si="1800"/>
        <v>-22</v>
      </c>
      <c r="DW460" s="167">
        <f t="shared" si="1800"/>
        <v>-6878668.7199999997</v>
      </c>
    </row>
    <row r="461" spans="1:127" ht="60" customHeight="1" x14ac:dyDescent="0.25">
      <c r="A461" s="154"/>
      <c r="B461" s="176">
        <v>409</v>
      </c>
      <c r="C461" s="177" t="s">
        <v>989</v>
      </c>
      <c r="D461" s="210" t="s">
        <v>990</v>
      </c>
      <c r="E461" s="158">
        <v>25969</v>
      </c>
      <c r="F461" s="179">
        <v>1.24</v>
      </c>
      <c r="G461" s="168">
        <v>1</v>
      </c>
      <c r="H461" s="169"/>
      <c r="I461" s="169"/>
      <c r="J461" s="169"/>
      <c r="K461" s="106"/>
      <c r="L461" s="180">
        <v>1.4</v>
      </c>
      <c r="M461" s="180">
        <v>1.68</v>
      </c>
      <c r="N461" s="180">
        <v>2.23</v>
      </c>
      <c r="O461" s="181">
        <v>2.57</v>
      </c>
      <c r="P461" s="182">
        <v>50</v>
      </c>
      <c r="Q461" s="182">
        <f t="shared" ref="Q461:Q479" si="1968">(P461*$E461*$F461*$G461*$L461*$Q$12)</f>
        <v>2479520.12</v>
      </c>
      <c r="R461" s="182"/>
      <c r="S461" s="182">
        <f t="shared" ref="S461:S479" si="1969">(R461*$E461*$F461*$G461*$L461*$S$12)</f>
        <v>0</v>
      </c>
      <c r="T461" s="182"/>
      <c r="U461" s="182">
        <f t="shared" ref="U461:U479" si="1970">(T461/12*11*$E461*$F461*$G461*$L461*$U$12)+(T461/12*1*$E461*$F461*$G461*$L461*$U$14)</f>
        <v>0</v>
      </c>
      <c r="V461" s="182"/>
      <c r="W461" s="183">
        <f t="shared" ref="W461:W479" si="1971">(V461*$E461*$F461*$G461*$L461*$W$12)/12*10+(V461*$E461*$F461*$G461*$L461*$W$13)/12*1++(V461*$E461*$F461*$G461*$L461*$W$14)/12*1</f>
        <v>0</v>
      </c>
      <c r="X461" s="183"/>
      <c r="Y461" s="183">
        <v>0</v>
      </c>
      <c r="Z461" s="183"/>
      <c r="AA461" s="183">
        <v>0</v>
      </c>
      <c r="AB461" s="182">
        <f t="shared" ref="AB461:AC482" si="1972">X461+Z461</f>
        <v>0</v>
      </c>
      <c r="AC461" s="182">
        <f t="shared" si="1972"/>
        <v>0</v>
      </c>
      <c r="AD461" s="182"/>
      <c r="AE461" s="182">
        <f t="shared" ref="AE461:AE479" si="1973">(AD461*$E461*$F461*$G461*$L461*$AE$12)</f>
        <v>0</v>
      </c>
      <c r="AF461" s="182"/>
      <c r="AG461" s="182"/>
      <c r="AH461" s="182"/>
      <c r="AI461" s="182">
        <f t="shared" ref="AI461:AI479" si="1974">(AH461*$E461*$F461*$G461*$L461*$AI$12)</f>
        <v>0</v>
      </c>
      <c r="AJ461" s="182"/>
      <c r="AK461" s="182"/>
      <c r="AL461" s="182"/>
      <c r="AM461" s="182"/>
      <c r="AN461" s="184"/>
      <c r="AO461" s="182">
        <f t="shared" ref="AO461:AO479" si="1975">(AN461*$E461*$F461*$G461*$L461*$AO$12)</f>
        <v>0</v>
      </c>
      <c r="AP461" s="182"/>
      <c r="AQ461" s="183">
        <f t="shared" ref="AQ461:AQ479" si="1976">(AP461*$E461*$F461*$G461*$L461*$AQ$12)</f>
        <v>0</v>
      </c>
      <c r="AR461" s="182"/>
      <c r="AS461" s="182">
        <f t="shared" ref="AS461:AS479" si="1977">(AR461*$E461*$F461*$G461*$L461*$AS$12)/12*10+(AR461*$E461*$F461*$G461*$L461*$AS$13)/12*1+(AR461*$E461*$F461*$G461*$L461*$AS$14)/12*1</f>
        <v>0</v>
      </c>
      <c r="AT461" s="182"/>
      <c r="AU461" s="182">
        <f t="shared" ref="AU461:AU479" si="1978">(AT461*$E461*$F461*$G461*$M461*$AU$12)</f>
        <v>0</v>
      </c>
      <c r="AV461" s="188"/>
      <c r="AW461" s="182">
        <f t="shared" ref="AW461:AW479" si="1979">(AV461*$E461*$F461*$G461*$M461*$AW$12)</f>
        <v>0</v>
      </c>
      <c r="AX461" s="182"/>
      <c r="AY461" s="187">
        <f t="shared" ref="AY461:AY479" si="1980">(AX461*$E461*$F461*$G461*$M461*$AY$12)</f>
        <v>0</v>
      </c>
      <c r="AZ461" s="182"/>
      <c r="BA461" s="182">
        <f t="shared" ref="BA461:BA479" si="1981">(AZ461*$E461*$F461*$G461*$L461*$BA$12)</f>
        <v>0</v>
      </c>
      <c r="BB461" s="182"/>
      <c r="BC461" s="182">
        <f t="shared" ref="BC461:BC479" si="1982">(BB461*$E461*$F461*$G461*$L461*$BC$12)</f>
        <v>0</v>
      </c>
      <c r="BD461" s="182">
        <v>180</v>
      </c>
      <c r="BE461" s="182">
        <f t="shared" ref="BE461:BE479" si="1983">(BD461*$E461*$F461*$G461*$L461*$BE$12)</f>
        <v>7303313.8079999993</v>
      </c>
      <c r="BF461" s="182"/>
      <c r="BG461" s="182">
        <f t="shared" ref="BG461:BG479" si="1984">(BF461*$E461*$F461*$G461*$L461*$BG$12)</f>
        <v>0</v>
      </c>
      <c r="BH461" s="182"/>
      <c r="BI461" s="183">
        <f t="shared" ref="BI461:BI479" si="1985">(BH461*$E461*$F461*$G461*$L461*$BI$12)</f>
        <v>0</v>
      </c>
      <c r="BJ461" s="182"/>
      <c r="BK461" s="183">
        <f t="shared" ref="BK461:BK479" si="1986">(BJ461*$E461*$F461*$G461*$L461*$BK$12)</f>
        <v>0</v>
      </c>
      <c r="BL461" s="182"/>
      <c r="BM461" s="182">
        <f t="shared" ref="BM461:BM479" si="1987">(BL461*$E461*$F461*$G461*$L461*$BM$12)</f>
        <v>0</v>
      </c>
      <c r="BN461" s="182"/>
      <c r="BO461" s="182">
        <f t="shared" ref="BO461:BO479" si="1988">(BN461*$E461*$F461*$G461*$M461*$BO$12)</f>
        <v>0</v>
      </c>
      <c r="BP461" s="182"/>
      <c r="BQ461" s="182">
        <f t="shared" ref="BQ461:BQ479" si="1989">(BP461*$E461*$F461*$G461*$M461*$BQ$12)</f>
        <v>0</v>
      </c>
      <c r="BR461" s="182"/>
      <c r="BS461" s="183">
        <f t="shared" ref="BS461:BS479" si="1990">(BR461*$E461*$F461*$G461*$M461*$BS$12)</f>
        <v>0</v>
      </c>
      <c r="BT461" s="182"/>
      <c r="BU461" s="182">
        <f t="shared" ref="BU461:BU479" si="1991">(BT461*$E461*$F461*$G461*$M461*$BU$12)</f>
        <v>0</v>
      </c>
      <c r="BV461" s="182"/>
      <c r="BW461" s="182">
        <f t="shared" ref="BW461:BW479" si="1992">(BV461*$E461*$F461*$G461*$M461*$BW$12)</f>
        <v>0</v>
      </c>
      <c r="BX461" s="182"/>
      <c r="BY461" s="183">
        <f t="shared" ref="BY461:BY479" si="1993">(BX461*$E461*$F461*$G461*$M461*$BY$12)</f>
        <v>0</v>
      </c>
      <c r="BZ461" s="182"/>
      <c r="CA461" s="187">
        <f t="shared" ref="CA461:CA479" si="1994">(BZ461*$E461*$F461*$G461*$M461*$CA$12)</f>
        <v>0</v>
      </c>
      <c r="CB461" s="182"/>
      <c r="CC461" s="182">
        <f t="shared" ref="CC461:CC479" si="1995">(CB461*$E461*$F461*$G461*$L461*$CC$12)</f>
        <v>0</v>
      </c>
      <c r="CD461" s="182"/>
      <c r="CE461" s="182">
        <f t="shared" ref="CE461:CE479" si="1996">(CD461*$E461*$F461*$G461*$L461*$CE$12)</f>
        <v>0</v>
      </c>
      <c r="CF461" s="182"/>
      <c r="CG461" s="182">
        <f t="shared" ref="CG461:CG479" si="1997">(CF461*$E461*$F461*$G461*$L461*$CG$12)</f>
        <v>0</v>
      </c>
      <c r="CH461" s="182"/>
      <c r="CI461" s="182">
        <f t="shared" ref="CI461:CI479" si="1998">(CH461*$E461*$F461*$G461*$M461*$CI$12)</f>
        <v>0</v>
      </c>
      <c r="CJ461" s="182"/>
      <c r="CK461" s="182"/>
      <c r="CL461" s="182"/>
      <c r="CM461" s="183">
        <f t="shared" ref="CM461:CM479" si="1999">(CL461*$E461*$F461*$G461*$L461*$CM$12)</f>
        <v>0</v>
      </c>
      <c r="CN461" s="182"/>
      <c r="CO461" s="183">
        <f t="shared" ref="CO461:CO479" si="2000">(CN461*$E461*$F461*$G461*$L461*$CO$12)</f>
        <v>0</v>
      </c>
      <c r="CP461" s="182"/>
      <c r="CQ461" s="182">
        <f t="shared" ref="CQ461:CQ479" si="2001">(CP461*$E461*$F461*$G461*$L461*$CQ$12)</f>
        <v>0</v>
      </c>
      <c r="CR461" s="182"/>
      <c r="CS461" s="182">
        <f t="shared" ref="CS461:CS479" si="2002">(CR461*$E461*$F461*$G461*$L461*$CS$12)</f>
        <v>0</v>
      </c>
      <c r="CT461" s="182"/>
      <c r="CU461" s="182">
        <f t="shared" ref="CU461:CU479" si="2003">(CT461*$E461*$F461*$G461*$L461*$CU$12)</f>
        <v>0</v>
      </c>
      <c r="CV461" s="182"/>
      <c r="CW461" s="182">
        <v>0</v>
      </c>
      <c r="CX461" s="182"/>
      <c r="CY461" s="182">
        <f t="shared" ref="CY461:CY479" si="2004">(CX461*$E461*$F461*$G461*$M461*$CY$12)</f>
        <v>0</v>
      </c>
      <c r="CZ461" s="182"/>
      <c r="DA461" s="182">
        <v>0</v>
      </c>
      <c r="DB461" s="188"/>
      <c r="DC461" s="182">
        <f t="shared" ref="DC461:DC479" si="2005">(DB461*$E461*$F461*$G461*$M461*$DC$12)</f>
        <v>0</v>
      </c>
      <c r="DD461" s="182"/>
      <c r="DE461" s="187"/>
      <c r="DF461" s="182"/>
      <c r="DG461" s="182">
        <f t="shared" ref="DG461:DG479" si="2006">(DF461*$E461*$F461*$G461*$M461*$DG$12)</f>
        <v>0</v>
      </c>
      <c r="DH461" s="189"/>
      <c r="DI461" s="182">
        <f t="shared" ref="DI461:DI479" si="2007">(DH461*$E461*$F461*$G461*$M461*$DI$12)</f>
        <v>0</v>
      </c>
      <c r="DJ461" s="182"/>
      <c r="DK461" s="182">
        <f t="shared" ref="DK461:DK479" si="2008">(DJ461*$E461*$F461*$G461*$M461*$DK$12)</f>
        <v>0</v>
      </c>
      <c r="DL461" s="182"/>
      <c r="DM461" s="182">
        <f t="shared" ref="DM461:DM479" si="2009">(DL461*$E461*$F461*$G461*$N461*$DM$12)</f>
        <v>0</v>
      </c>
      <c r="DN461" s="182"/>
      <c r="DO461" s="190">
        <f t="shared" ref="DO461:DO479" si="2010">(DN461*$E461*$F461*$G461*$O461*$DO$12)</f>
        <v>0</v>
      </c>
      <c r="DP461" s="187"/>
      <c r="DQ461" s="187"/>
      <c r="DR461" s="183">
        <f t="shared" si="1966"/>
        <v>230</v>
      </c>
      <c r="DS461" s="183">
        <f t="shared" si="1966"/>
        <v>9782833.9279999994</v>
      </c>
      <c r="DT461" s="182">
        <v>230</v>
      </c>
      <c r="DU461" s="182">
        <v>9782833.9279999994</v>
      </c>
      <c r="DV461" s="167">
        <f t="shared" si="1800"/>
        <v>0</v>
      </c>
      <c r="DW461" s="167">
        <f t="shared" si="1800"/>
        <v>0</v>
      </c>
    </row>
    <row r="462" spans="1:127" ht="60" customHeight="1" x14ac:dyDescent="0.25">
      <c r="A462" s="154"/>
      <c r="B462" s="176">
        <v>410</v>
      </c>
      <c r="C462" s="177" t="s">
        <v>991</v>
      </c>
      <c r="D462" s="210" t="s">
        <v>992</v>
      </c>
      <c r="E462" s="158">
        <v>25969</v>
      </c>
      <c r="F462" s="179">
        <v>2.62</v>
      </c>
      <c r="G462" s="168">
        <v>1</v>
      </c>
      <c r="H462" s="169"/>
      <c r="I462" s="169"/>
      <c r="J462" s="169"/>
      <c r="K462" s="106"/>
      <c r="L462" s="180">
        <v>1.4</v>
      </c>
      <c r="M462" s="180">
        <v>1.68</v>
      </c>
      <c r="N462" s="180">
        <v>2.23</v>
      </c>
      <c r="O462" s="181">
        <v>2.57</v>
      </c>
      <c r="P462" s="182">
        <v>96</v>
      </c>
      <c r="Q462" s="182">
        <f t="shared" si="1968"/>
        <v>10058853.235200001</v>
      </c>
      <c r="R462" s="182">
        <v>1</v>
      </c>
      <c r="S462" s="182">
        <f t="shared" si="1969"/>
        <v>104779.7212</v>
      </c>
      <c r="T462" s="182"/>
      <c r="U462" s="182">
        <f t="shared" si="1970"/>
        <v>0</v>
      </c>
      <c r="V462" s="182"/>
      <c r="W462" s="183">
        <f t="shared" si="1971"/>
        <v>0</v>
      </c>
      <c r="X462" s="183"/>
      <c r="Y462" s="183">
        <v>0</v>
      </c>
      <c r="Z462" s="183"/>
      <c r="AA462" s="183">
        <v>0</v>
      </c>
      <c r="AB462" s="182">
        <f t="shared" si="1972"/>
        <v>0</v>
      </c>
      <c r="AC462" s="182">
        <f t="shared" si="1972"/>
        <v>0</v>
      </c>
      <c r="AD462" s="182"/>
      <c r="AE462" s="182">
        <f t="shared" si="1973"/>
        <v>0</v>
      </c>
      <c r="AF462" s="182"/>
      <c r="AG462" s="182"/>
      <c r="AH462" s="182"/>
      <c r="AI462" s="182">
        <f t="shared" si="1974"/>
        <v>0</v>
      </c>
      <c r="AJ462" s="182"/>
      <c r="AK462" s="182"/>
      <c r="AL462" s="182"/>
      <c r="AM462" s="182"/>
      <c r="AN462" s="184"/>
      <c r="AO462" s="182">
        <f t="shared" si="1975"/>
        <v>0</v>
      </c>
      <c r="AP462" s="182"/>
      <c r="AQ462" s="183">
        <f t="shared" si="1976"/>
        <v>0</v>
      </c>
      <c r="AR462" s="182"/>
      <c r="AS462" s="182">
        <f t="shared" si="1977"/>
        <v>0</v>
      </c>
      <c r="AT462" s="182"/>
      <c r="AU462" s="182">
        <f t="shared" si="1978"/>
        <v>0</v>
      </c>
      <c r="AV462" s="188"/>
      <c r="AW462" s="182">
        <f t="shared" si="1979"/>
        <v>0</v>
      </c>
      <c r="AX462" s="182"/>
      <c r="AY462" s="187">
        <f t="shared" si="1980"/>
        <v>0</v>
      </c>
      <c r="AZ462" s="182"/>
      <c r="BA462" s="182">
        <f t="shared" si="1981"/>
        <v>0</v>
      </c>
      <c r="BB462" s="182"/>
      <c r="BC462" s="182">
        <f t="shared" si="1982"/>
        <v>0</v>
      </c>
      <c r="BD462" s="182">
        <v>70</v>
      </c>
      <c r="BE462" s="182">
        <f t="shared" si="1983"/>
        <v>6001020.3960000006</v>
      </c>
      <c r="BF462" s="182"/>
      <c r="BG462" s="182">
        <f t="shared" si="1984"/>
        <v>0</v>
      </c>
      <c r="BH462" s="182"/>
      <c r="BI462" s="183">
        <f t="shared" si="1985"/>
        <v>0</v>
      </c>
      <c r="BJ462" s="182"/>
      <c r="BK462" s="183">
        <f t="shared" si="1986"/>
        <v>0</v>
      </c>
      <c r="BL462" s="182"/>
      <c r="BM462" s="182">
        <f t="shared" si="1987"/>
        <v>0</v>
      </c>
      <c r="BN462" s="182"/>
      <c r="BO462" s="182">
        <f t="shared" si="1988"/>
        <v>0</v>
      </c>
      <c r="BP462" s="182"/>
      <c r="BQ462" s="182">
        <f t="shared" si="1989"/>
        <v>0</v>
      </c>
      <c r="BR462" s="182"/>
      <c r="BS462" s="183">
        <f t="shared" si="1990"/>
        <v>0</v>
      </c>
      <c r="BT462" s="182"/>
      <c r="BU462" s="182">
        <f t="shared" si="1991"/>
        <v>0</v>
      </c>
      <c r="BV462" s="182"/>
      <c r="BW462" s="182">
        <f t="shared" si="1992"/>
        <v>0</v>
      </c>
      <c r="BX462" s="182"/>
      <c r="BY462" s="183">
        <f t="shared" si="1993"/>
        <v>0</v>
      </c>
      <c r="BZ462" s="182"/>
      <c r="CA462" s="187">
        <f t="shared" si="1994"/>
        <v>0</v>
      </c>
      <c r="CB462" s="182"/>
      <c r="CC462" s="182">
        <f t="shared" si="1995"/>
        <v>0</v>
      </c>
      <c r="CD462" s="182"/>
      <c r="CE462" s="182">
        <f t="shared" si="1996"/>
        <v>0</v>
      </c>
      <c r="CF462" s="182"/>
      <c r="CG462" s="182">
        <f t="shared" si="1997"/>
        <v>0</v>
      </c>
      <c r="CH462" s="182"/>
      <c r="CI462" s="182">
        <f t="shared" si="1998"/>
        <v>0</v>
      </c>
      <c r="CJ462" s="182"/>
      <c r="CK462" s="182"/>
      <c r="CL462" s="182"/>
      <c r="CM462" s="183">
        <f t="shared" si="1999"/>
        <v>0</v>
      </c>
      <c r="CN462" s="182"/>
      <c r="CO462" s="183">
        <f t="shared" si="2000"/>
        <v>0</v>
      </c>
      <c r="CP462" s="182"/>
      <c r="CQ462" s="182">
        <f t="shared" si="2001"/>
        <v>0</v>
      </c>
      <c r="CR462" s="182"/>
      <c r="CS462" s="182">
        <f t="shared" si="2002"/>
        <v>0</v>
      </c>
      <c r="CT462" s="182"/>
      <c r="CU462" s="182">
        <f t="shared" si="2003"/>
        <v>0</v>
      </c>
      <c r="CV462" s="182"/>
      <c r="CW462" s="182">
        <v>0</v>
      </c>
      <c r="CX462" s="182"/>
      <c r="CY462" s="182">
        <f t="shared" si="2004"/>
        <v>0</v>
      </c>
      <c r="CZ462" s="182"/>
      <c r="DA462" s="182">
        <v>0</v>
      </c>
      <c r="DB462" s="188"/>
      <c r="DC462" s="182">
        <f t="shared" si="2005"/>
        <v>0</v>
      </c>
      <c r="DD462" s="182"/>
      <c r="DE462" s="187"/>
      <c r="DF462" s="182"/>
      <c r="DG462" s="182">
        <f t="shared" si="2006"/>
        <v>0</v>
      </c>
      <c r="DH462" s="189"/>
      <c r="DI462" s="182">
        <f t="shared" si="2007"/>
        <v>0</v>
      </c>
      <c r="DJ462" s="182"/>
      <c r="DK462" s="182">
        <f t="shared" si="2008"/>
        <v>0</v>
      </c>
      <c r="DL462" s="182"/>
      <c r="DM462" s="182">
        <f t="shared" si="2009"/>
        <v>0</v>
      </c>
      <c r="DN462" s="182"/>
      <c r="DO462" s="190">
        <f t="shared" si="2010"/>
        <v>0</v>
      </c>
      <c r="DP462" s="187"/>
      <c r="DQ462" s="187"/>
      <c r="DR462" s="183">
        <f t="shared" si="1966"/>
        <v>167</v>
      </c>
      <c r="DS462" s="183">
        <f t="shared" si="1966"/>
        <v>16164653.352400001</v>
      </c>
      <c r="DT462" s="182">
        <v>170</v>
      </c>
      <c r="DU462" s="182">
        <v>16478992.516000003</v>
      </c>
      <c r="DV462" s="167">
        <f t="shared" si="1800"/>
        <v>-3</v>
      </c>
      <c r="DW462" s="167">
        <f t="shared" si="1800"/>
        <v>-314339.16360000148</v>
      </c>
    </row>
    <row r="463" spans="1:127" ht="60" customHeight="1" x14ac:dyDescent="0.25">
      <c r="A463" s="154"/>
      <c r="B463" s="176">
        <v>411</v>
      </c>
      <c r="C463" s="177" t="s">
        <v>993</v>
      </c>
      <c r="D463" s="210" t="s">
        <v>994</v>
      </c>
      <c r="E463" s="158">
        <v>25969</v>
      </c>
      <c r="F463" s="179">
        <v>3.93</v>
      </c>
      <c r="G463" s="168">
        <v>1</v>
      </c>
      <c r="H463" s="169"/>
      <c r="I463" s="169"/>
      <c r="J463" s="169"/>
      <c r="K463" s="106"/>
      <c r="L463" s="180">
        <v>1.4</v>
      </c>
      <c r="M463" s="180">
        <v>1.68</v>
      </c>
      <c r="N463" s="180">
        <v>2.23</v>
      </c>
      <c r="O463" s="181">
        <v>2.57</v>
      </c>
      <c r="P463" s="182">
        <v>10</v>
      </c>
      <c r="Q463" s="182">
        <f t="shared" si="1968"/>
        <v>1571695.8180000002</v>
      </c>
      <c r="R463" s="182"/>
      <c r="S463" s="182">
        <f t="shared" si="1969"/>
        <v>0</v>
      </c>
      <c r="T463" s="182"/>
      <c r="U463" s="182">
        <f t="shared" si="1970"/>
        <v>0</v>
      </c>
      <c r="V463" s="182"/>
      <c r="W463" s="183">
        <f t="shared" si="1971"/>
        <v>0</v>
      </c>
      <c r="X463" s="183"/>
      <c r="Y463" s="183">
        <v>0</v>
      </c>
      <c r="Z463" s="183"/>
      <c r="AA463" s="183">
        <v>0</v>
      </c>
      <c r="AB463" s="182">
        <f t="shared" si="1972"/>
        <v>0</v>
      </c>
      <c r="AC463" s="182">
        <f t="shared" si="1972"/>
        <v>0</v>
      </c>
      <c r="AD463" s="182"/>
      <c r="AE463" s="182">
        <f t="shared" si="1973"/>
        <v>0</v>
      </c>
      <c r="AF463" s="182"/>
      <c r="AG463" s="182"/>
      <c r="AH463" s="182"/>
      <c r="AI463" s="182">
        <f t="shared" si="1974"/>
        <v>0</v>
      </c>
      <c r="AJ463" s="182"/>
      <c r="AK463" s="182"/>
      <c r="AL463" s="182"/>
      <c r="AM463" s="182"/>
      <c r="AN463" s="184"/>
      <c r="AO463" s="182">
        <f t="shared" si="1975"/>
        <v>0</v>
      </c>
      <c r="AP463" s="182"/>
      <c r="AQ463" s="183">
        <f t="shared" si="1976"/>
        <v>0</v>
      </c>
      <c r="AR463" s="182"/>
      <c r="AS463" s="182">
        <f t="shared" si="1977"/>
        <v>0</v>
      </c>
      <c r="AT463" s="182"/>
      <c r="AU463" s="182">
        <f t="shared" si="1978"/>
        <v>0</v>
      </c>
      <c r="AV463" s="188"/>
      <c r="AW463" s="182">
        <f t="shared" si="1979"/>
        <v>0</v>
      </c>
      <c r="AX463" s="182"/>
      <c r="AY463" s="187">
        <f t="shared" si="1980"/>
        <v>0</v>
      </c>
      <c r="AZ463" s="182"/>
      <c r="BA463" s="182">
        <f t="shared" si="1981"/>
        <v>0</v>
      </c>
      <c r="BB463" s="182"/>
      <c r="BC463" s="182">
        <f t="shared" si="1982"/>
        <v>0</v>
      </c>
      <c r="BD463" s="182">
        <v>20</v>
      </c>
      <c r="BE463" s="182">
        <f t="shared" si="1983"/>
        <v>2571865.8840000001</v>
      </c>
      <c r="BF463" s="182"/>
      <c r="BG463" s="182">
        <f t="shared" si="1984"/>
        <v>0</v>
      </c>
      <c r="BH463" s="182"/>
      <c r="BI463" s="183">
        <f t="shared" si="1985"/>
        <v>0</v>
      </c>
      <c r="BJ463" s="182"/>
      <c r="BK463" s="183">
        <f t="shared" si="1986"/>
        <v>0</v>
      </c>
      <c r="BL463" s="182"/>
      <c r="BM463" s="182">
        <f t="shared" si="1987"/>
        <v>0</v>
      </c>
      <c r="BN463" s="182"/>
      <c r="BO463" s="182">
        <f t="shared" si="1988"/>
        <v>0</v>
      </c>
      <c r="BP463" s="182"/>
      <c r="BQ463" s="182">
        <f t="shared" si="1989"/>
        <v>0</v>
      </c>
      <c r="BR463" s="182"/>
      <c r="BS463" s="183">
        <f t="shared" si="1990"/>
        <v>0</v>
      </c>
      <c r="BT463" s="182"/>
      <c r="BU463" s="182">
        <f t="shared" si="1991"/>
        <v>0</v>
      </c>
      <c r="BV463" s="182"/>
      <c r="BW463" s="182">
        <f t="shared" si="1992"/>
        <v>0</v>
      </c>
      <c r="BX463" s="182"/>
      <c r="BY463" s="183">
        <f t="shared" si="1993"/>
        <v>0</v>
      </c>
      <c r="BZ463" s="182"/>
      <c r="CA463" s="187">
        <f t="shared" si="1994"/>
        <v>0</v>
      </c>
      <c r="CB463" s="182"/>
      <c r="CC463" s="182">
        <f t="shared" si="1995"/>
        <v>0</v>
      </c>
      <c r="CD463" s="182"/>
      <c r="CE463" s="182">
        <f t="shared" si="1996"/>
        <v>0</v>
      </c>
      <c r="CF463" s="182"/>
      <c r="CG463" s="182">
        <f t="shared" si="1997"/>
        <v>0</v>
      </c>
      <c r="CH463" s="182"/>
      <c r="CI463" s="182">
        <f t="shared" si="1998"/>
        <v>0</v>
      </c>
      <c r="CJ463" s="182"/>
      <c r="CK463" s="182"/>
      <c r="CL463" s="182"/>
      <c r="CM463" s="183">
        <f t="shared" si="1999"/>
        <v>0</v>
      </c>
      <c r="CN463" s="182"/>
      <c r="CO463" s="183">
        <f t="shared" si="2000"/>
        <v>0</v>
      </c>
      <c r="CP463" s="182"/>
      <c r="CQ463" s="182">
        <f t="shared" si="2001"/>
        <v>0</v>
      </c>
      <c r="CR463" s="182"/>
      <c r="CS463" s="182">
        <f t="shared" si="2002"/>
        <v>0</v>
      </c>
      <c r="CT463" s="182"/>
      <c r="CU463" s="182">
        <f t="shared" si="2003"/>
        <v>0</v>
      </c>
      <c r="CV463" s="182"/>
      <c r="CW463" s="182">
        <v>0</v>
      </c>
      <c r="CX463" s="182"/>
      <c r="CY463" s="182">
        <f t="shared" si="2004"/>
        <v>0</v>
      </c>
      <c r="CZ463" s="182"/>
      <c r="DA463" s="182">
        <v>0</v>
      </c>
      <c r="DB463" s="188">
        <v>0</v>
      </c>
      <c r="DC463" s="182">
        <f t="shared" si="2005"/>
        <v>0</v>
      </c>
      <c r="DD463" s="182"/>
      <c r="DE463" s="187"/>
      <c r="DF463" s="182"/>
      <c r="DG463" s="182">
        <f t="shared" si="2006"/>
        <v>0</v>
      </c>
      <c r="DH463" s="189"/>
      <c r="DI463" s="182">
        <f t="shared" si="2007"/>
        <v>0</v>
      </c>
      <c r="DJ463" s="182"/>
      <c r="DK463" s="182">
        <f t="shared" si="2008"/>
        <v>0</v>
      </c>
      <c r="DL463" s="182"/>
      <c r="DM463" s="182">
        <f t="shared" si="2009"/>
        <v>0</v>
      </c>
      <c r="DN463" s="182"/>
      <c r="DO463" s="190">
        <f t="shared" si="2010"/>
        <v>0</v>
      </c>
      <c r="DP463" s="187"/>
      <c r="DQ463" s="187"/>
      <c r="DR463" s="183">
        <f t="shared" si="1966"/>
        <v>30</v>
      </c>
      <c r="DS463" s="183">
        <f t="shared" si="1966"/>
        <v>4143561.7020000005</v>
      </c>
      <c r="DT463" s="182">
        <v>30</v>
      </c>
      <c r="DU463" s="182">
        <v>4143561.7020000005</v>
      </c>
      <c r="DV463" s="167">
        <f t="shared" si="1800"/>
        <v>0</v>
      </c>
      <c r="DW463" s="167">
        <f t="shared" si="1800"/>
        <v>0</v>
      </c>
    </row>
    <row r="464" spans="1:127" ht="30" customHeight="1" x14ac:dyDescent="0.25">
      <c r="A464" s="154"/>
      <c r="B464" s="176">
        <v>412</v>
      </c>
      <c r="C464" s="177" t="s">
        <v>995</v>
      </c>
      <c r="D464" s="210" t="s">
        <v>996</v>
      </c>
      <c r="E464" s="158">
        <v>25969</v>
      </c>
      <c r="F464" s="179">
        <v>1.02</v>
      </c>
      <c r="G464" s="168">
        <v>1</v>
      </c>
      <c r="H464" s="169"/>
      <c r="I464" s="169"/>
      <c r="J464" s="169"/>
      <c r="K464" s="106"/>
      <c r="L464" s="180">
        <v>1.4</v>
      </c>
      <c r="M464" s="180">
        <v>1.68</v>
      </c>
      <c r="N464" s="180">
        <v>2.23</v>
      </c>
      <c r="O464" s="181">
        <v>2.57</v>
      </c>
      <c r="P464" s="182"/>
      <c r="Q464" s="182">
        <f t="shared" si="1968"/>
        <v>0</v>
      </c>
      <c r="R464" s="182"/>
      <c r="S464" s="182">
        <f t="shared" si="1969"/>
        <v>0</v>
      </c>
      <c r="T464" s="182"/>
      <c r="U464" s="182">
        <f t="shared" si="1970"/>
        <v>0</v>
      </c>
      <c r="V464" s="182"/>
      <c r="W464" s="183">
        <f t="shared" si="1971"/>
        <v>0</v>
      </c>
      <c r="X464" s="183"/>
      <c r="Y464" s="183">
        <v>0</v>
      </c>
      <c r="Z464" s="183"/>
      <c r="AA464" s="183">
        <v>0</v>
      </c>
      <c r="AB464" s="182">
        <f t="shared" si="1972"/>
        <v>0</v>
      </c>
      <c r="AC464" s="182">
        <f t="shared" si="1972"/>
        <v>0</v>
      </c>
      <c r="AD464" s="182"/>
      <c r="AE464" s="182">
        <f t="shared" si="1973"/>
        <v>0</v>
      </c>
      <c r="AF464" s="182"/>
      <c r="AG464" s="182"/>
      <c r="AH464" s="182"/>
      <c r="AI464" s="182">
        <f t="shared" si="1974"/>
        <v>0</v>
      </c>
      <c r="AJ464" s="182"/>
      <c r="AK464" s="182"/>
      <c r="AL464" s="182"/>
      <c r="AM464" s="182"/>
      <c r="AN464" s="184"/>
      <c r="AO464" s="182">
        <f t="shared" si="1975"/>
        <v>0</v>
      </c>
      <c r="AP464" s="182"/>
      <c r="AQ464" s="183">
        <f t="shared" si="1976"/>
        <v>0</v>
      </c>
      <c r="AR464" s="182"/>
      <c r="AS464" s="182">
        <f t="shared" si="1977"/>
        <v>0</v>
      </c>
      <c r="AT464" s="182"/>
      <c r="AU464" s="182">
        <f t="shared" si="1978"/>
        <v>0</v>
      </c>
      <c r="AV464" s="188"/>
      <c r="AW464" s="182">
        <f t="shared" si="1979"/>
        <v>0</v>
      </c>
      <c r="AX464" s="182"/>
      <c r="AY464" s="187">
        <f t="shared" si="1980"/>
        <v>0</v>
      </c>
      <c r="AZ464" s="182"/>
      <c r="BA464" s="182">
        <f t="shared" si="1981"/>
        <v>0</v>
      </c>
      <c r="BB464" s="182"/>
      <c r="BC464" s="182">
        <f t="shared" si="1982"/>
        <v>0</v>
      </c>
      <c r="BD464" s="182">
        <v>10</v>
      </c>
      <c r="BE464" s="182">
        <f t="shared" si="1983"/>
        <v>333753.58799999999</v>
      </c>
      <c r="BF464" s="182"/>
      <c r="BG464" s="182">
        <f t="shared" si="1984"/>
        <v>0</v>
      </c>
      <c r="BH464" s="182"/>
      <c r="BI464" s="183">
        <f t="shared" si="1985"/>
        <v>0</v>
      </c>
      <c r="BJ464" s="182"/>
      <c r="BK464" s="183">
        <f t="shared" si="1986"/>
        <v>0</v>
      </c>
      <c r="BL464" s="182"/>
      <c r="BM464" s="182">
        <f t="shared" si="1987"/>
        <v>0</v>
      </c>
      <c r="BN464" s="182"/>
      <c r="BO464" s="182">
        <f t="shared" si="1988"/>
        <v>0</v>
      </c>
      <c r="BP464" s="182"/>
      <c r="BQ464" s="182">
        <f t="shared" si="1989"/>
        <v>0</v>
      </c>
      <c r="BR464" s="182"/>
      <c r="BS464" s="183">
        <f t="shared" si="1990"/>
        <v>0</v>
      </c>
      <c r="BT464" s="182"/>
      <c r="BU464" s="182">
        <f t="shared" si="1991"/>
        <v>0</v>
      </c>
      <c r="BV464" s="182"/>
      <c r="BW464" s="182">
        <f t="shared" si="1992"/>
        <v>0</v>
      </c>
      <c r="BX464" s="182"/>
      <c r="BY464" s="183">
        <f t="shared" si="1993"/>
        <v>0</v>
      </c>
      <c r="BZ464" s="182"/>
      <c r="CA464" s="187">
        <f t="shared" si="1994"/>
        <v>0</v>
      </c>
      <c r="CB464" s="182"/>
      <c r="CC464" s="182">
        <f t="shared" si="1995"/>
        <v>0</v>
      </c>
      <c r="CD464" s="182"/>
      <c r="CE464" s="182">
        <f t="shared" si="1996"/>
        <v>0</v>
      </c>
      <c r="CF464" s="182"/>
      <c r="CG464" s="182">
        <f t="shared" si="1997"/>
        <v>0</v>
      </c>
      <c r="CH464" s="182"/>
      <c r="CI464" s="182">
        <f t="shared" si="1998"/>
        <v>0</v>
      </c>
      <c r="CJ464" s="182"/>
      <c r="CK464" s="182"/>
      <c r="CL464" s="182"/>
      <c r="CM464" s="183">
        <f t="shared" si="1999"/>
        <v>0</v>
      </c>
      <c r="CN464" s="182"/>
      <c r="CO464" s="183">
        <f t="shared" si="2000"/>
        <v>0</v>
      </c>
      <c r="CP464" s="182"/>
      <c r="CQ464" s="182">
        <f t="shared" si="2001"/>
        <v>0</v>
      </c>
      <c r="CR464" s="182"/>
      <c r="CS464" s="182">
        <f t="shared" si="2002"/>
        <v>0</v>
      </c>
      <c r="CT464" s="182"/>
      <c r="CU464" s="182">
        <f t="shared" si="2003"/>
        <v>0</v>
      </c>
      <c r="CV464" s="182"/>
      <c r="CW464" s="182">
        <v>0</v>
      </c>
      <c r="CX464" s="182"/>
      <c r="CY464" s="182">
        <f t="shared" si="2004"/>
        <v>0</v>
      </c>
      <c r="CZ464" s="182"/>
      <c r="DA464" s="182">
        <v>0</v>
      </c>
      <c r="DB464" s="188"/>
      <c r="DC464" s="182">
        <f t="shared" si="2005"/>
        <v>0</v>
      </c>
      <c r="DD464" s="182"/>
      <c r="DE464" s="187"/>
      <c r="DF464" s="182"/>
      <c r="DG464" s="182">
        <f t="shared" si="2006"/>
        <v>0</v>
      </c>
      <c r="DH464" s="189"/>
      <c r="DI464" s="182">
        <f t="shared" si="2007"/>
        <v>0</v>
      </c>
      <c r="DJ464" s="182"/>
      <c r="DK464" s="182">
        <f t="shared" si="2008"/>
        <v>0</v>
      </c>
      <c r="DL464" s="182"/>
      <c r="DM464" s="182">
        <f t="shared" si="2009"/>
        <v>0</v>
      </c>
      <c r="DN464" s="182"/>
      <c r="DO464" s="190">
        <f t="shared" si="2010"/>
        <v>0</v>
      </c>
      <c r="DP464" s="187"/>
      <c r="DQ464" s="187"/>
      <c r="DR464" s="183">
        <f t="shared" si="1966"/>
        <v>10</v>
      </c>
      <c r="DS464" s="183">
        <f t="shared" si="1966"/>
        <v>333753.58799999999</v>
      </c>
      <c r="DT464" s="182">
        <v>10</v>
      </c>
      <c r="DU464" s="182">
        <v>333753.58799999999</v>
      </c>
      <c r="DV464" s="167">
        <f t="shared" si="1800"/>
        <v>0</v>
      </c>
      <c r="DW464" s="167">
        <f t="shared" si="1800"/>
        <v>0</v>
      </c>
    </row>
    <row r="465" spans="1:127" ht="30" customHeight="1" x14ac:dyDescent="0.25">
      <c r="A465" s="154"/>
      <c r="B465" s="176">
        <v>413</v>
      </c>
      <c r="C465" s="177" t="s">
        <v>997</v>
      </c>
      <c r="D465" s="210" t="s">
        <v>998</v>
      </c>
      <c r="E465" s="158">
        <v>25969</v>
      </c>
      <c r="F465" s="179">
        <v>1.38</v>
      </c>
      <c r="G465" s="168">
        <v>1</v>
      </c>
      <c r="H465" s="169"/>
      <c r="I465" s="169"/>
      <c r="J465" s="169"/>
      <c r="K465" s="106"/>
      <c r="L465" s="180">
        <v>1.4</v>
      </c>
      <c r="M465" s="180">
        <v>1.68</v>
      </c>
      <c r="N465" s="180">
        <v>2.23</v>
      </c>
      <c r="O465" s="181">
        <v>2.57</v>
      </c>
      <c r="P465" s="182"/>
      <c r="Q465" s="182">
        <f t="shared" si="1968"/>
        <v>0</v>
      </c>
      <c r="R465" s="182"/>
      <c r="S465" s="182">
        <f t="shared" si="1969"/>
        <v>0</v>
      </c>
      <c r="T465" s="182"/>
      <c r="U465" s="182">
        <f t="shared" si="1970"/>
        <v>0</v>
      </c>
      <c r="V465" s="182"/>
      <c r="W465" s="183">
        <f t="shared" si="1971"/>
        <v>0</v>
      </c>
      <c r="X465" s="183"/>
      <c r="Y465" s="183">
        <v>0</v>
      </c>
      <c r="Z465" s="183"/>
      <c r="AA465" s="183">
        <v>0</v>
      </c>
      <c r="AB465" s="182">
        <f t="shared" si="1972"/>
        <v>0</v>
      </c>
      <c r="AC465" s="182">
        <f t="shared" si="1972"/>
        <v>0</v>
      </c>
      <c r="AD465" s="182"/>
      <c r="AE465" s="182">
        <f t="shared" si="1973"/>
        <v>0</v>
      </c>
      <c r="AF465" s="182"/>
      <c r="AG465" s="182"/>
      <c r="AH465" s="182"/>
      <c r="AI465" s="182">
        <f t="shared" si="1974"/>
        <v>0</v>
      </c>
      <c r="AJ465" s="182"/>
      <c r="AK465" s="182"/>
      <c r="AL465" s="182"/>
      <c r="AM465" s="182"/>
      <c r="AN465" s="184"/>
      <c r="AO465" s="182">
        <f t="shared" si="1975"/>
        <v>0</v>
      </c>
      <c r="AP465" s="182"/>
      <c r="AQ465" s="183">
        <f t="shared" si="1976"/>
        <v>0</v>
      </c>
      <c r="AR465" s="182"/>
      <c r="AS465" s="182">
        <f t="shared" si="1977"/>
        <v>0</v>
      </c>
      <c r="AT465" s="182"/>
      <c r="AU465" s="182">
        <f t="shared" si="1978"/>
        <v>0</v>
      </c>
      <c r="AV465" s="188"/>
      <c r="AW465" s="182">
        <f t="shared" si="1979"/>
        <v>0</v>
      </c>
      <c r="AX465" s="182"/>
      <c r="AY465" s="187">
        <f t="shared" si="1980"/>
        <v>0</v>
      </c>
      <c r="AZ465" s="182"/>
      <c r="BA465" s="182">
        <f t="shared" si="1981"/>
        <v>0</v>
      </c>
      <c r="BB465" s="182"/>
      <c r="BC465" s="182">
        <f t="shared" si="1982"/>
        <v>0</v>
      </c>
      <c r="BD465" s="182">
        <v>10</v>
      </c>
      <c r="BE465" s="182">
        <f t="shared" si="1983"/>
        <v>451548.97199999989</v>
      </c>
      <c r="BF465" s="182"/>
      <c r="BG465" s="182">
        <f t="shared" si="1984"/>
        <v>0</v>
      </c>
      <c r="BH465" s="182"/>
      <c r="BI465" s="183">
        <f t="shared" si="1985"/>
        <v>0</v>
      </c>
      <c r="BJ465" s="182"/>
      <c r="BK465" s="183">
        <f t="shared" si="1986"/>
        <v>0</v>
      </c>
      <c r="BL465" s="182"/>
      <c r="BM465" s="182">
        <f t="shared" si="1987"/>
        <v>0</v>
      </c>
      <c r="BN465" s="182"/>
      <c r="BO465" s="182">
        <f t="shared" si="1988"/>
        <v>0</v>
      </c>
      <c r="BP465" s="182"/>
      <c r="BQ465" s="182">
        <f t="shared" si="1989"/>
        <v>0</v>
      </c>
      <c r="BR465" s="182"/>
      <c r="BS465" s="183">
        <f t="shared" si="1990"/>
        <v>0</v>
      </c>
      <c r="BT465" s="182"/>
      <c r="BU465" s="182">
        <f t="shared" si="1991"/>
        <v>0</v>
      </c>
      <c r="BV465" s="182"/>
      <c r="BW465" s="182">
        <f t="shared" si="1992"/>
        <v>0</v>
      </c>
      <c r="BX465" s="182"/>
      <c r="BY465" s="183">
        <f t="shared" si="1993"/>
        <v>0</v>
      </c>
      <c r="BZ465" s="182"/>
      <c r="CA465" s="187">
        <f t="shared" si="1994"/>
        <v>0</v>
      </c>
      <c r="CB465" s="182"/>
      <c r="CC465" s="182">
        <f t="shared" si="1995"/>
        <v>0</v>
      </c>
      <c r="CD465" s="182"/>
      <c r="CE465" s="182">
        <f t="shared" si="1996"/>
        <v>0</v>
      </c>
      <c r="CF465" s="182"/>
      <c r="CG465" s="182">
        <f t="shared" si="1997"/>
        <v>0</v>
      </c>
      <c r="CH465" s="182"/>
      <c r="CI465" s="182">
        <f t="shared" si="1998"/>
        <v>0</v>
      </c>
      <c r="CJ465" s="182"/>
      <c r="CK465" s="182"/>
      <c r="CL465" s="182"/>
      <c r="CM465" s="183">
        <f t="shared" si="1999"/>
        <v>0</v>
      </c>
      <c r="CN465" s="182"/>
      <c r="CO465" s="183">
        <f t="shared" si="2000"/>
        <v>0</v>
      </c>
      <c r="CP465" s="182"/>
      <c r="CQ465" s="182">
        <f t="shared" si="2001"/>
        <v>0</v>
      </c>
      <c r="CR465" s="182"/>
      <c r="CS465" s="182">
        <f t="shared" si="2002"/>
        <v>0</v>
      </c>
      <c r="CT465" s="182"/>
      <c r="CU465" s="182">
        <f t="shared" si="2003"/>
        <v>0</v>
      </c>
      <c r="CV465" s="182"/>
      <c r="CW465" s="182">
        <v>0</v>
      </c>
      <c r="CX465" s="182"/>
      <c r="CY465" s="182">
        <f t="shared" si="2004"/>
        <v>0</v>
      </c>
      <c r="CZ465" s="182"/>
      <c r="DA465" s="182">
        <v>0</v>
      </c>
      <c r="DB465" s="188"/>
      <c r="DC465" s="182">
        <f t="shared" si="2005"/>
        <v>0</v>
      </c>
      <c r="DD465" s="182"/>
      <c r="DE465" s="187"/>
      <c r="DF465" s="182"/>
      <c r="DG465" s="182">
        <f t="shared" si="2006"/>
        <v>0</v>
      </c>
      <c r="DH465" s="189"/>
      <c r="DI465" s="182">
        <f t="shared" si="2007"/>
        <v>0</v>
      </c>
      <c r="DJ465" s="182"/>
      <c r="DK465" s="182">
        <f t="shared" si="2008"/>
        <v>0</v>
      </c>
      <c r="DL465" s="182"/>
      <c r="DM465" s="182">
        <f t="shared" si="2009"/>
        <v>0</v>
      </c>
      <c r="DN465" s="182"/>
      <c r="DO465" s="190">
        <f t="shared" si="2010"/>
        <v>0</v>
      </c>
      <c r="DP465" s="187"/>
      <c r="DQ465" s="187"/>
      <c r="DR465" s="183">
        <f t="shared" si="1966"/>
        <v>10</v>
      </c>
      <c r="DS465" s="183">
        <f t="shared" si="1966"/>
        <v>451548.97199999989</v>
      </c>
      <c r="DT465" s="182">
        <v>10</v>
      </c>
      <c r="DU465" s="182">
        <v>451548.97199999989</v>
      </c>
      <c r="DV465" s="167">
        <f t="shared" ref="DV465:DW485" si="2011">DR465-DT465</f>
        <v>0</v>
      </c>
      <c r="DW465" s="167">
        <f t="shared" si="2011"/>
        <v>0</v>
      </c>
    </row>
    <row r="466" spans="1:127" ht="30" customHeight="1" x14ac:dyDescent="0.25">
      <c r="A466" s="154"/>
      <c r="B466" s="176">
        <v>414</v>
      </c>
      <c r="C466" s="177" t="s">
        <v>999</v>
      </c>
      <c r="D466" s="210" t="s">
        <v>1000</v>
      </c>
      <c r="E466" s="158">
        <v>25969</v>
      </c>
      <c r="F466" s="168">
        <v>2</v>
      </c>
      <c r="G466" s="168">
        <v>1</v>
      </c>
      <c r="H466" s="169"/>
      <c r="I466" s="169"/>
      <c r="J466" s="169"/>
      <c r="K466" s="106"/>
      <c r="L466" s="180">
        <v>1.4</v>
      </c>
      <c r="M466" s="180">
        <v>1.68</v>
      </c>
      <c r="N466" s="180">
        <v>2.23</v>
      </c>
      <c r="O466" s="181">
        <v>2.57</v>
      </c>
      <c r="P466" s="182"/>
      <c r="Q466" s="182">
        <f t="shared" si="1968"/>
        <v>0</v>
      </c>
      <c r="R466" s="182"/>
      <c r="S466" s="182">
        <f t="shared" si="1969"/>
        <v>0</v>
      </c>
      <c r="T466" s="182"/>
      <c r="U466" s="182">
        <f t="shared" si="1970"/>
        <v>0</v>
      </c>
      <c r="V466" s="182"/>
      <c r="W466" s="183">
        <f t="shared" si="1971"/>
        <v>0</v>
      </c>
      <c r="X466" s="183"/>
      <c r="Y466" s="183">
        <v>0</v>
      </c>
      <c r="Z466" s="183"/>
      <c r="AA466" s="183">
        <v>0</v>
      </c>
      <c r="AB466" s="182">
        <f t="shared" si="1972"/>
        <v>0</v>
      </c>
      <c r="AC466" s="182">
        <f t="shared" si="1972"/>
        <v>0</v>
      </c>
      <c r="AD466" s="182"/>
      <c r="AE466" s="182">
        <f t="shared" si="1973"/>
        <v>0</v>
      </c>
      <c r="AF466" s="182"/>
      <c r="AG466" s="182"/>
      <c r="AH466" s="182"/>
      <c r="AI466" s="182">
        <f t="shared" si="1974"/>
        <v>0</v>
      </c>
      <c r="AJ466" s="182"/>
      <c r="AK466" s="182"/>
      <c r="AL466" s="182"/>
      <c r="AM466" s="182"/>
      <c r="AN466" s="184"/>
      <c r="AO466" s="182">
        <f t="shared" si="1975"/>
        <v>0</v>
      </c>
      <c r="AP466" s="182"/>
      <c r="AQ466" s="183">
        <f t="shared" si="1976"/>
        <v>0</v>
      </c>
      <c r="AR466" s="182"/>
      <c r="AS466" s="182">
        <f t="shared" si="1977"/>
        <v>0</v>
      </c>
      <c r="AT466" s="182"/>
      <c r="AU466" s="182">
        <f t="shared" si="1978"/>
        <v>0</v>
      </c>
      <c r="AV466" s="188"/>
      <c r="AW466" s="182">
        <f t="shared" si="1979"/>
        <v>0</v>
      </c>
      <c r="AX466" s="182"/>
      <c r="AY466" s="187">
        <f t="shared" si="1980"/>
        <v>0</v>
      </c>
      <c r="AZ466" s="182"/>
      <c r="BA466" s="182">
        <f t="shared" si="1981"/>
        <v>0</v>
      </c>
      <c r="BB466" s="182"/>
      <c r="BC466" s="182">
        <f t="shared" si="1982"/>
        <v>0</v>
      </c>
      <c r="BD466" s="182"/>
      <c r="BE466" s="182">
        <f t="shared" si="1983"/>
        <v>0</v>
      </c>
      <c r="BF466" s="182"/>
      <c r="BG466" s="182">
        <f t="shared" si="1984"/>
        <v>0</v>
      </c>
      <c r="BH466" s="182"/>
      <c r="BI466" s="183">
        <f t="shared" si="1985"/>
        <v>0</v>
      </c>
      <c r="BJ466" s="182"/>
      <c r="BK466" s="183">
        <f t="shared" si="1986"/>
        <v>0</v>
      </c>
      <c r="BL466" s="182"/>
      <c r="BM466" s="182">
        <f t="shared" si="1987"/>
        <v>0</v>
      </c>
      <c r="BN466" s="182"/>
      <c r="BO466" s="182">
        <f t="shared" si="1988"/>
        <v>0</v>
      </c>
      <c r="BP466" s="182"/>
      <c r="BQ466" s="182">
        <f t="shared" si="1989"/>
        <v>0</v>
      </c>
      <c r="BR466" s="182"/>
      <c r="BS466" s="183">
        <f t="shared" si="1990"/>
        <v>0</v>
      </c>
      <c r="BT466" s="182"/>
      <c r="BU466" s="182">
        <f t="shared" si="1991"/>
        <v>0</v>
      </c>
      <c r="BV466" s="182"/>
      <c r="BW466" s="182">
        <f t="shared" si="1992"/>
        <v>0</v>
      </c>
      <c r="BX466" s="182"/>
      <c r="BY466" s="183">
        <f t="shared" si="1993"/>
        <v>0</v>
      </c>
      <c r="BZ466" s="182"/>
      <c r="CA466" s="187">
        <f t="shared" si="1994"/>
        <v>0</v>
      </c>
      <c r="CB466" s="182"/>
      <c r="CC466" s="182">
        <f t="shared" si="1995"/>
        <v>0</v>
      </c>
      <c r="CD466" s="182"/>
      <c r="CE466" s="182">
        <f t="shared" si="1996"/>
        <v>0</v>
      </c>
      <c r="CF466" s="182"/>
      <c r="CG466" s="182">
        <f t="shared" si="1997"/>
        <v>0</v>
      </c>
      <c r="CH466" s="182"/>
      <c r="CI466" s="182">
        <f t="shared" si="1998"/>
        <v>0</v>
      </c>
      <c r="CJ466" s="182"/>
      <c r="CK466" s="182"/>
      <c r="CL466" s="182"/>
      <c r="CM466" s="183">
        <f t="shared" si="1999"/>
        <v>0</v>
      </c>
      <c r="CN466" s="182"/>
      <c r="CO466" s="183">
        <f t="shared" si="2000"/>
        <v>0</v>
      </c>
      <c r="CP466" s="182"/>
      <c r="CQ466" s="182">
        <f t="shared" si="2001"/>
        <v>0</v>
      </c>
      <c r="CR466" s="182"/>
      <c r="CS466" s="182">
        <f t="shared" si="2002"/>
        <v>0</v>
      </c>
      <c r="CT466" s="182"/>
      <c r="CU466" s="182">
        <f t="shared" si="2003"/>
        <v>0</v>
      </c>
      <c r="CV466" s="182"/>
      <c r="CW466" s="182">
        <v>0</v>
      </c>
      <c r="CX466" s="182"/>
      <c r="CY466" s="182">
        <f t="shared" si="2004"/>
        <v>0</v>
      </c>
      <c r="CZ466" s="182"/>
      <c r="DA466" s="182">
        <v>0</v>
      </c>
      <c r="DB466" s="188"/>
      <c r="DC466" s="182">
        <f t="shared" si="2005"/>
        <v>0</v>
      </c>
      <c r="DD466" s="182"/>
      <c r="DE466" s="187"/>
      <c r="DF466" s="182"/>
      <c r="DG466" s="182">
        <f t="shared" si="2006"/>
        <v>0</v>
      </c>
      <c r="DH466" s="189"/>
      <c r="DI466" s="182">
        <f t="shared" si="2007"/>
        <v>0</v>
      </c>
      <c r="DJ466" s="182"/>
      <c r="DK466" s="182">
        <f t="shared" si="2008"/>
        <v>0</v>
      </c>
      <c r="DL466" s="182"/>
      <c r="DM466" s="182">
        <f t="shared" si="2009"/>
        <v>0</v>
      </c>
      <c r="DN466" s="182"/>
      <c r="DO466" s="190">
        <f t="shared" si="2010"/>
        <v>0</v>
      </c>
      <c r="DP466" s="187"/>
      <c r="DQ466" s="187"/>
      <c r="DR466" s="183">
        <f t="shared" si="1966"/>
        <v>0</v>
      </c>
      <c r="DS466" s="183">
        <f t="shared" si="1966"/>
        <v>0</v>
      </c>
      <c r="DT466" s="182">
        <v>3</v>
      </c>
      <c r="DU466" s="182">
        <v>239953.56</v>
      </c>
      <c r="DV466" s="167">
        <f t="shared" si="2011"/>
        <v>-3</v>
      </c>
      <c r="DW466" s="167">
        <f t="shared" si="2011"/>
        <v>-239953.56</v>
      </c>
    </row>
    <row r="467" spans="1:127" ht="45" customHeight="1" x14ac:dyDescent="0.25">
      <c r="A467" s="154"/>
      <c r="B467" s="176">
        <v>415</v>
      </c>
      <c r="C467" s="177" t="s">
        <v>1001</v>
      </c>
      <c r="D467" s="210" t="s">
        <v>1002</v>
      </c>
      <c r="E467" s="158">
        <v>25969</v>
      </c>
      <c r="F467" s="179">
        <v>0.59</v>
      </c>
      <c r="G467" s="168">
        <v>1</v>
      </c>
      <c r="H467" s="169"/>
      <c r="I467" s="169"/>
      <c r="J467" s="169"/>
      <c r="K467" s="106"/>
      <c r="L467" s="180">
        <v>1.4</v>
      </c>
      <c r="M467" s="180">
        <v>1.68</v>
      </c>
      <c r="N467" s="180">
        <v>2.23</v>
      </c>
      <c r="O467" s="181">
        <v>2.57</v>
      </c>
      <c r="P467" s="182">
        <v>5</v>
      </c>
      <c r="Q467" s="182">
        <f t="shared" si="1968"/>
        <v>117977.16700000002</v>
      </c>
      <c r="R467" s="182"/>
      <c r="S467" s="182">
        <f t="shared" si="1969"/>
        <v>0</v>
      </c>
      <c r="T467" s="182"/>
      <c r="U467" s="182">
        <f t="shared" si="1970"/>
        <v>0</v>
      </c>
      <c r="V467" s="182"/>
      <c r="W467" s="183">
        <f t="shared" si="1971"/>
        <v>0</v>
      </c>
      <c r="X467" s="183"/>
      <c r="Y467" s="183">
        <v>0</v>
      </c>
      <c r="Z467" s="183"/>
      <c r="AA467" s="183">
        <v>0</v>
      </c>
      <c r="AB467" s="182">
        <f t="shared" si="1972"/>
        <v>0</v>
      </c>
      <c r="AC467" s="182">
        <f t="shared" si="1972"/>
        <v>0</v>
      </c>
      <c r="AD467" s="182"/>
      <c r="AE467" s="182">
        <f t="shared" si="1973"/>
        <v>0</v>
      </c>
      <c r="AF467" s="182"/>
      <c r="AG467" s="182"/>
      <c r="AH467" s="182"/>
      <c r="AI467" s="182">
        <f t="shared" si="1974"/>
        <v>0</v>
      </c>
      <c r="AJ467" s="182"/>
      <c r="AK467" s="182"/>
      <c r="AL467" s="182"/>
      <c r="AM467" s="182"/>
      <c r="AN467" s="184"/>
      <c r="AO467" s="182">
        <f t="shared" si="1975"/>
        <v>0</v>
      </c>
      <c r="AP467" s="182"/>
      <c r="AQ467" s="183">
        <f t="shared" si="1976"/>
        <v>0</v>
      </c>
      <c r="AR467" s="182"/>
      <c r="AS467" s="182">
        <f t="shared" si="1977"/>
        <v>0</v>
      </c>
      <c r="AT467" s="182"/>
      <c r="AU467" s="182">
        <f t="shared" si="1978"/>
        <v>0</v>
      </c>
      <c r="AV467" s="188"/>
      <c r="AW467" s="182">
        <f t="shared" si="1979"/>
        <v>0</v>
      </c>
      <c r="AX467" s="182"/>
      <c r="AY467" s="187">
        <f t="shared" si="1980"/>
        <v>0</v>
      </c>
      <c r="AZ467" s="182"/>
      <c r="BA467" s="182">
        <f t="shared" si="1981"/>
        <v>0</v>
      </c>
      <c r="BB467" s="182"/>
      <c r="BC467" s="182">
        <f t="shared" si="1982"/>
        <v>0</v>
      </c>
      <c r="BD467" s="182">
        <v>1310</v>
      </c>
      <c r="BE467" s="182">
        <f t="shared" si="1983"/>
        <v>25290014.525999997</v>
      </c>
      <c r="BF467" s="182"/>
      <c r="BG467" s="182">
        <f t="shared" si="1984"/>
        <v>0</v>
      </c>
      <c r="BH467" s="182"/>
      <c r="BI467" s="183">
        <f t="shared" si="1985"/>
        <v>0</v>
      </c>
      <c r="BJ467" s="182"/>
      <c r="BK467" s="183">
        <f t="shared" si="1986"/>
        <v>0</v>
      </c>
      <c r="BL467" s="182"/>
      <c r="BM467" s="182">
        <f t="shared" si="1987"/>
        <v>0</v>
      </c>
      <c r="BN467" s="182"/>
      <c r="BO467" s="182">
        <f t="shared" si="1988"/>
        <v>0</v>
      </c>
      <c r="BP467" s="182"/>
      <c r="BQ467" s="182">
        <f t="shared" si="1989"/>
        <v>0</v>
      </c>
      <c r="BR467" s="182"/>
      <c r="BS467" s="183">
        <f t="shared" si="1990"/>
        <v>0</v>
      </c>
      <c r="BT467" s="182"/>
      <c r="BU467" s="182">
        <f t="shared" si="1991"/>
        <v>0</v>
      </c>
      <c r="BV467" s="182"/>
      <c r="BW467" s="182">
        <f t="shared" si="1992"/>
        <v>0</v>
      </c>
      <c r="BX467" s="182"/>
      <c r="BY467" s="183">
        <f t="shared" si="1993"/>
        <v>0</v>
      </c>
      <c r="BZ467" s="182"/>
      <c r="CA467" s="187">
        <f t="shared" si="1994"/>
        <v>0</v>
      </c>
      <c r="CB467" s="182"/>
      <c r="CC467" s="182">
        <f t="shared" si="1995"/>
        <v>0</v>
      </c>
      <c r="CD467" s="182"/>
      <c r="CE467" s="182">
        <f t="shared" si="1996"/>
        <v>0</v>
      </c>
      <c r="CF467" s="182"/>
      <c r="CG467" s="182">
        <f t="shared" si="1997"/>
        <v>0</v>
      </c>
      <c r="CH467" s="182"/>
      <c r="CI467" s="182">
        <f t="shared" si="1998"/>
        <v>0</v>
      </c>
      <c r="CJ467" s="182"/>
      <c r="CK467" s="182"/>
      <c r="CL467" s="182"/>
      <c r="CM467" s="183">
        <f t="shared" si="1999"/>
        <v>0</v>
      </c>
      <c r="CN467" s="182"/>
      <c r="CO467" s="183">
        <f t="shared" si="2000"/>
        <v>0</v>
      </c>
      <c r="CP467" s="182"/>
      <c r="CQ467" s="182">
        <f t="shared" si="2001"/>
        <v>0</v>
      </c>
      <c r="CR467" s="182"/>
      <c r="CS467" s="182">
        <f t="shared" si="2002"/>
        <v>0</v>
      </c>
      <c r="CT467" s="182"/>
      <c r="CU467" s="182">
        <f t="shared" si="2003"/>
        <v>0</v>
      </c>
      <c r="CV467" s="182"/>
      <c r="CW467" s="182">
        <v>0</v>
      </c>
      <c r="CX467" s="182"/>
      <c r="CY467" s="182">
        <f t="shared" si="2004"/>
        <v>0</v>
      </c>
      <c r="CZ467" s="182"/>
      <c r="DA467" s="182">
        <v>0</v>
      </c>
      <c r="DB467" s="188"/>
      <c r="DC467" s="182">
        <f t="shared" si="2005"/>
        <v>0</v>
      </c>
      <c r="DD467" s="182"/>
      <c r="DE467" s="187"/>
      <c r="DF467" s="182"/>
      <c r="DG467" s="182">
        <f t="shared" si="2006"/>
        <v>0</v>
      </c>
      <c r="DH467" s="189"/>
      <c r="DI467" s="182">
        <f t="shared" si="2007"/>
        <v>0</v>
      </c>
      <c r="DJ467" s="182"/>
      <c r="DK467" s="182">
        <f t="shared" si="2008"/>
        <v>0</v>
      </c>
      <c r="DL467" s="182"/>
      <c r="DM467" s="182">
        <f t="shared" si="2009"/>
        <v>0</v>
      </c>
      <c r="DN467" s="182"/>
      <c r="DO467" s="190">
        <f t="shared" si="2010"/>
        <v>0</v>
      </c>
      <c r="DP467" s="187"/>
      <c r="DQ467" s="187"/>
      <c r="DR467" s="183">
        <f t="shared" si="1966"/>
        <v>1315</v>
      </c>
      <c r="DS467" s="183">
        <f t="shared" si="1966"/>
        <v>25407991.692999996</v>
      </c>
      <c r="DT467" s="182">
        <v>1315</v>
      </c>
      <c r="DU467" s="182">
        <v>25407991.692999996</v>
      </c>
      <c r="DV467" s="167">
        <f t="shared" si="2011"/>
        <v>0</v>
      </c>
      <c r="DW467" s="167">
        <f t="shared" si="2011"/>
        <v>0</v>
      </c>
    </row>
    <row r="468" spans="1:127" ht="45" customHeight="1" x14ac:dyDescent="0.25">
      <c r="A468" s="154"/>
      <c r="B468" s="176">
        <v>416</v>
      </c>
      <c r="C468" s="177" t="s">
        <v>1003</v>
      </c>
      <c r="D468" s="210" t="s">
        <v>1004</v>
      </c>
      <c r="E468" s="158">
        <v>25969</v>
      </c>
      <c r="F468" s="179">
        <v>0.84</v>
      </c>
      <c r="G468" s="168">
        <v>1</v>
      </c>
      <c r="H468" s="169"/>
      <c r="I468" s="169"/>
      <c r="J468" s="169"/>
      <c r="K468" s="106"/>
      <c r="L468" s="180">
        <v>1.4</v>
      </c>
      <c r="M468" s="180">
        <v>1.68</v>
      </c>
      <c r="N468" s="180">
        <v>2.23</v>
      </c>
      <c r="O468" s="181">
        <v>2.57</v>
      </c>
      <c r="P468" s="182">
        <v>140</v>
      </c>
      <c r="Q468" s="182">
        <f t="shared" si="1968"/>
        <v>4703089.7759999996</v>
      </c>
      <c r="R468" s="182"/>
      <c r="S468" s="182">
        <f t="shared" si="1969"/>
        <v>0</v>
      </c>
      <c r="T468" s="182"/>
      <c r="U468" s="182">
        <f t="shared" si="1970"/>
        <v>0</v>
      </c>
      <c r="V468" s="182"/>
      <c r="W468" s="183">
        <f t="shared" si="1971"/>
        <v>0</v>
      </c>
      <c r="X468" s="183"/>
      <c r="Y468" s="183">
        <v>0</v>
      </c>
      <c r="Z468" s="183"/>
      <c r="AA468" s="183">
        <v>0</v>
      </c>
      <c r="AB468" s="182">
        <f t="shared" si="1972"/>
        <v>0</v>
      </c>
      <c r="AC468" s="182">
        <f t="shared" si="1972"/>
        <v>0</v>
      </c>
      <c r="AD468" s="182"/>
      <c r="AE468" s="182">
        <f t="shared" si="1973"/>
        <v>0</v>
      </c>
      <c r="AF468" s="182"/>
      <c r="AG468" s="182"/>
      <c r="AH468" s="182"/>
      <c r="AI468" s="182">
        <f t="shared" si="1974"/>
        <v>0</v>
      </c>
      <c r="AJ468" s="182"/>
      <c r="AK468" s="182"/>
      <c r="AL468" s="182"/>
      <c r="AM468" s="182"/>
      <c r="AN468" s="184"/>
      <c r="AO468" s="182">
        <f t="shared" si="1975"/>
        <v>0</v>
      </c>
      <c r="AP468" s="182"/>
      <c r="AQ468" s="183">
        <f t="shared" si="1976"/>
        <v>0</v>
      </c>
      <c r="AR468" s="182"/>
      <c r="AS468" s="182">
        <f t="shared" si="1977"/>
        <v>0</v>
      </c>
      <c r="AT468" s="182"/>
      <c r="AU468" s="182">
        <f t="shared" si="1978"/>
        <v>0</v>
      </c>
      <c r="AV468" s="188"/>
      <c r="AW468" s="182">
        <f t="shared" si="1979"/>
        <v>0</v>
      </c>
      <c r="AX468" s="182"/>
      <c r="AY468" s="187">
        <f t="shared" si="1980"/>
        <v>0</v>
      </c>
      <c r="AZ468" s="182"/>
      <c r="BA468" s="182">
        <f t="shared" si="1981"/>
        <v>0</v>
      </c>
      <c r="BB468" s="182"/>
      <c r="BC468" s="182">
        <f t="shared" si="1982"/>
        <v>0</v>
      </c>
      <c r="BD468" s="182">
        <v>100</v>
      </c>
      <c r="BE468" s="182">
        <f t="shared" si="1983"/>
        <v>2748558.96</v>
      </c>
      <c r="BF468" s="182"/>
      <c r="BG468" s="182">
        <f t="shared" si="1984"/>
        <v>0</v>
      </c>
      <c r="BH468" s="182"/>
      <c r="BI468" s="183">
        <f t="shared" si="1985"/>
        <v>0</v>
      </c>
      <c r="BJ468" s="182"/>
      <c r="BK468" s="183">
        <f t="shared" si="1986"/>
        <v>0</v>
      </c>
      <c r="BL468" s="182"/>
      <c r="BM468" s="182">
        <f t="shared" si="1987"/>
        <v>0</v>
      </c>
      <c r="BN468" s="182"/>
      <c r="BO468" s="182">
        <f t="shared" si="1988"/>
        <v>0</v>
      </c>
      <c r="BP468" s="182"/>
      <c r="BQ468" s="182">
        <f t="shared" si="1989"/>
        <v>0</v>
      </c>
      <c r="BR468" s="182"/>
      <c r="BS468" s="183">
        <f t="shared" si="1990"/>
        <v>0</v>
      </c>
      <c r="BT468" s="182"/>
      <c r="BU468" s="182">
        <f t="shared" si="1991"/>
        <v>0</v>
      </c>
      <c r="BV468" s="182"/>
      <c r="BW468" s="182">
        <f t="shared" si="1992"/>
        <v>0</v>
      </c>
      <c r="BX468" s="182"/>
      <c r="BY468" s="183">
        <f t="shared" si="1993"/>
        <v>0</v>
      </c>
      <c r="BZ468" s="182"/>
      <c r="CA468" s="187">
        <f t="shared" si="1994"/>
        <v>0</v>
      </c>
      <c r="CB468" s="182"/>
      <c r="CC468" s="182">
        <f t="shared" si="1995"/>
        <v>0</v>
      </c>
      <c r="CD468" s="182"/>
      <c r="CE468" s="182">
        <f t="shared" si="1996"/>
        <v>0</v>
      </c>
      <c r="CF468" s="182"/>
      <c r="CG468" s="182">
        <f t="shared" si="1997"/>
        <v>0</v>
      </c>
      <c r="CH468" s="182"/>
      <c r="CI468" s="182">
        <f t="shared" si="1998"/>
        <v>0</v>
      </c>
      <c r="CJ468" s="182"/>
      <c r="CK468" s="182"/>
      <c r="CL468" s="182"/>
      <c r="CM468" s="183">
        <f t="shared" si="1999"/>
        <v>0</v>
      </c>
      <c r="CN468" s="182"/>
      <c r="CO468" s="183">
        <f t="shared" si="2000"/>
        <v>0</v>
      </c>
      <c r="CP468" s="182"/>
      <c r="CQ468" s="182">
        <f t="shared" si="2001"/>
        <v>0</v>
      </c>
      <c r="CR468" s="182"/>
      <c r="CS468" s="182">
        <f t="shared" si="2002"/>
        <v>0</v>
      </c>
      <c r="CT468" s="182"/>
      <c r="CU468" s="182">
        <f t="shared" si="2003"/>
        <v>0</v>
      </c>
      <c r="CV468" s="182"/>
      <c r="CW468" s="182">
        <v>0</v>
      </c>
      <c r="CX468" s="182"/>
      <c r="CY468" s="182">
        <f t="shared" si="2004"/>
        <v>0</v>
      </c>
      <c r="CZ468" s="182"/>
      <c r="DA468" s="182">
        <v>0</v>
      </c>
      <c r="DB468" s="188"/>
      <c r="DC468" s="182">
        <f t="shared" si="2005"/>
        <v>0</v>
      </c>
      <c r="DD468" s="182"/>
      <c r="DE468" s="187"/>
      <c r="DF468" s="182"/>
      <c r="DG468" s="182">
        <f t="shared" si="2006"/>
        <v>0</v>
      </c>
      <c r="DH468" s="189"/>
      <c r="DI468" s="182">
        <f t="shared" si="2007"/>
        <v>0</v>
      </c>
      <c r="DJ468" s="182"/>
      <c r="DK468" s="182">
        <f t="shared" si="2008"/>
        <v>0</v>
      </c>
      <c r="DL468" s="182"/>
      <c r="DM468" s="182">
        <f t="shared" si="2009"/>
        <v>0</v>
      </c>
      <c r="DN468" s="182"/>
      <c r="DO468" s="190">
        <f t="shared" si="2010"/>
        <v>0</v>
      </c>
      <c r="DP468" s="187"/>
      <c r="DQ468" s="187"/>
      <c r="DR468" s="183">
        <f t="shared" si="1966"/>
        <v>240</v>
      </c>
      <c r="DS468" s="183">
        <f t="shared" si="1966"/>
        <v>7451648.7359999996</v>
      </c>
      <c r="DT468" s="182">
        <v>240</v>
      </c>
      <c r="DU468" s="182">
        <v>7451648.7359999996</v>
      </c>
      <c r="DV468" s="167">
        <f t="shared" si="2011"/>
        <v>0</v>
      </c>
      <c r="DW468" s="167">
        <f t="shared" si="2011"/>
        <v>0</v>
      </c>
    </row>
    <row r="469" spans="1:127" ht="45" customHeight="1" x14ac:dyDescent="0.25">
      <c r="A469" s="154"/>
      <c r="B469" s="176">
        <v>417</v>
      </c>
      <c r="C469" s="177" t="s">
        <v>1005</v>
      </c>
      <c r="D469" s="210" t="s">
        <v>1006</v>
      </c>
      <c r="E469" s="158">
        <v>25969</v>
      </c>
      <c r="F469" s="179">
        <v>1.17</v>
      </c>
      <c r="G469" s="168">
        <v>1</v>
      </c>
      <c r="H469" s="169"/>
      <c r="I469" s="169"/>
      <c r="J469" s="169"/>
      <c r="K469" s="106"/>
      <c r="L469" s="180">
        <v>1.4</v>
      </c>
      <c r="M469" s="180">
        <v>1.68</v>
      </c>
      <c r="N469" s="180">
        <v>2.23</v>
      </c>
      <c r="O469" s="181">
        <v>2.57</v>
      </c>
      <c r="P469" s="182">
        <v>0</v>
      </c>
      <c r="Q469" s="182">
        <f t="shared" si="1968"/>
        <v>0</v>
      </c>
      <c r="R469" s="182"/>
      <c r="S469" s="182">
        <f t="shared" si="1969"/>
        <v>0</v>
      </c>
      <c r="T469" s="182"/>
      <c r="U469" s="182">
        <f t="shared" si="1970"/>
        <v>0</v>
      </c>
      <c r="V469" s="182"/>
      <c r="W469" s="183">
        <f t="shared" si="1971"/>
        <v>0</v>
      </c>
      <c r="X469" s="183"/>
      <c r="Y469" s="183">
        <v>0</v>
      </c>
      <c r="Z469" s="183"/>
      <c r="AA469" s="183">
        <v>0</v>
      </c>
      <c r="AB469" s="182">
        <f t="shared" si="1972"/>
        <v>0</v>
      </c>
      <c r="AC469" s="182">
        <f t="shared" si="1972"/>
        <v>0</v>
      </c>
      <c r="AD469" s="182"/>
      <c r="AE469" s="182">
        <f t="shared" si="1973"/>
        <v>0</v>
      </c>
      <c r="AF469" s="182"/>
      <c r="AG469" s="182"/>
      <c r="AH469" s="182"/>
      <c r="AI469" s="182">
        <f t="shared" si="1974"/>
        <v>0</v>
      </c>
      <c r="AJ469" s="182"/>
      <c r="AK469" s="182"/>
      <c r="AL469" s="182"/>
      <c r="AM469" s="182"/>
      <c r="AN469" s="184"/>
      <c r="AO469" s="182">
        <f t="shared" si="1975"/>
        <v>0</v>
      </c>
      <c r="AP469" s="182"/>
      <c r="AQ469" s="183">
        <f t="shared" si="1976"/>
        <v>0</v>
      </c>
      <c r="AR469" s="182"/>
      <c r="AS469" s="182">
        <f t="shared" si="1977"/>
        <v>0</v>
      </c>
      <c r="AT469" s="182"/>
      <c r="AU469" s="182">
        <f t="shared" si="1978"/>
        <v>0</v>
      </c>
      <c r="AV469" s="188"/>
      <c r="AW469" s="182">
        <f t="shared" si="1979"/>
        <v>0</v>
      </c>
      <c r="AX469" s="182"/>
      <c r="AY469" s="187">
        <f t="shared" si="1980"/>
        <v>0</v>
      </c>
      <c r="AZ469" s="182"/>
      <c r="BA469" s="182">
        <f t="shared" si="1981"/>
        <v>0</v>
      </c>
      <c r="BB469" s="182"/>
      <c r="BC469" s="182">
        <f t="shared" si="1982"/>
        <v>0</v>
      </c>
      <c r="BD469" s="182"/>
      <c r="BE469" s="182">
        <f t="shared" si="1983"/>
        <v>0</v>
      </c>
      <c r="BF469" s="182"/>
      <c r="BG469" s="182">
        <f t="shared" si="1984"/>
        <v>0</v>
      </c>
      <c r="BH469" s="182"/>
      <c r="BI469" s="183">
        <f t="shared" si="1985"/>
        <v>0</v>
      </c>
      <c r="BJ469" s="182"/>
      <c r="BK469" s="183">
        <f t="shared" si="1986"/>
        <v>0</v>
      </c>
      <c r="BL469" s="182"/>
      <c r="BM469" s="182">
        <f t="shared" si="1987"/>
        <v>0</v>
      </c>
      <c r="BN469" s="182"/>
      <c r="BO469" s="182">
        <f t="shared" si="1988"/>
        <v>0</v>
      </c>
      <c r="BP469" s="182"/>
      <c r="BQ469" s="182">
        <f t="shared" si="1989"/>
        <v>0</v>
      </c>
      <c r="BR469" s="182"/>
      <c r="BS469" s="183">
        <f t="shared" si="1990"/>
        <v>0</v>
      </c>
      <c r="BT469" s="182"/>
      <c r="BU469" s="182">
        <f t="shared" si="1991"/>
        <v>0</v>
      </c>
      <c r="BV469" s="182"/>
      <c r="BW469" s="182">
        <f t="shared" si="1992"/>
        <v>0</v>
      </c>
      <c r="BX469" s="182"/>
      <c r="BY469" s="183">
        <f t="shared" si="1993"/>
        <v>0</v>
      </c>
      <c r="BZ469" s="182"/>
      <c r="CA469" s="187">
        <f t="shared" si="1994"/>
        <v>0</v>
      </c>
      <c r="CB469" s="182"/>
      <c r="CC469" s="182">
        <f t="shared" si="1995"/>
        <v>0</v>
      </c>
      <c r="CD469" s="182"/>
      <c r="CE469" s="182">
        <f t="shared" si="1996"/>
        <v>0</v>
      </c>
      <c r="CF469" s="182"/>
      <c r="CG469" s="182">
        <f t="shared" si="1997"/>
        <v>0</v>
      </c>
      <c r="CH469" s="182"/>
      <c r="CI469" s="182">
        <f t="shared" si="1998"/>
        <v>0</v>
      </c>
      <c r="CJ469" s="182"/>
      <c r="CK469" s="182"/>
      <c r="CL469" s="182"/>
      <c r="CM469" s="183">
        <f t="shared" si="1999"/>
        <v>0</v>
      </c>
      <c r="CN469" s="182"/>
      <c r="CO469" s="183">
        <f t="shared" si="2000"/>
        <v>0</v>
      </c>
      <c r="CP469" s="182"/>
      <c r="CQ469" s="182">
        <f t="shared" si="2001"/>
        <v>0</v>
      </c>
      <c r="CR469" s="182"/>
      <c r="CS469" s="182">
        <f t="shared" si="2002"/>
        <v>0</v>
      </c>
      <c r="CT469" s="182"/>
      <c r="CU469" s="182">
        <f t="shared" si="2003"/>
        <v>0</v>
      </c>
      <c r="CV469" s="182"/>
      <c r="CW469" s="182">
        <v>0</v>
      </c>
      <c r="CX469" s="182"/>
      <c r="CY469" s="182">
        <f t="shared" si="2004"/>
        <v>0</v>
      </c>
      <c r="CZ469" s="182"/>
      <c r="DA469" s="182">
        <v>0</v>
      </c>
      <c r="DB469" s="188"/>
      <c r="DC469" s="182">
        <f t="shared" si="2005"/>
        <v>0</v>
      </c>
      <c r="DD469" s="182"/>
      <c r="DE469" s="187"/>
      <c r="DF469" s="182"/>
      <c r="DG469" s="182">
        <f t="shared" si="2006"/>
        <v>0</v>
      </c>
      <c r="DH469" s="189"/>
      <c r="DI469" s="182">
        <f t="shared" si="2007"/>
        <v>0</v>
      </c>
      <c r="DJ469" s="182"/>
      <c r="DK469" s="182">
        <f t="shared" si="2008"/>
        <v>0</v>
      </c>
      <c r="DL469" s="182"/>
      <c r="DM469" s="182">
        <f t="shared" si="2009"/>
        <v>0</v>
      </c>
      <c r="DN469" s="182"/>
      <c r="DO469" s="190">
        <f t="shared" si="2010"/>
        <v>0</v>
      </c>
      <c r="DP469" s="187"/>
      <c r="DQ469" s="187"/>
      <c r="DR469" s="183">
        <f t="shared" si="1966"/>
        <v>0</v>
      </c>
      <c r="DS469" s="183">
        <f t="shared" si="1966"/>
        <v>0</v>
      </c>
      <c r="DT469" s="182">
        <v>0</v>
      </c>
      <c r="DU469" s="182">
        <v>0</v>
      </c>
      <c r="DV469" s="167">
        <f t="shared" si="2011"/>
        <v>0</v>
      </c>
      <c r="DW469" s="167">
        <f t="shared" si="2011"/>
        <v>0</v>
      </c>
    </row>
    <row r="470" spans="1:127" ht="30" customHeight="1" x14ac:dyDescent="0.25">
      <c r="A470" s="154"/>
      <c r="B470" s="176">
        <v>418</v>
      </c>
      <c r="C470" s="177" t="s">
        <v>1007</v>
      </c>
      <c r="D470" s="210" t="s">
        <v>1008</v>
      </c>
      <c r="E470" s="158">
        <v>25969</v>
      </c>
      <c r="F470" s="168">
        <v>1.5</v>
      </c>
      <c r="G470" s="168">
        <v>1</v>
      </c>
      <c r="H470" s="169"/>
      <c r="I470" s="169"/>
      <c r="J470" s="169"/>
      <c r="K470" s="106"/>
      <c r="L470" s="180">
        <v>1.4</v>
      </c>
      <c r="M470" s="180">
        <v>1.68</v>
      </c>
      <c r="N470" s="180">
        <v>2.23</v>
      </c>
      <c r="O470" s="181">
        <v>2.57</v>
      </c>
      <c r="P470" s="182">
        <v>0</v>
      </c>
      <c r="Q470" s="182">
        <f t="shared" si="1968"/>
        <v>0</v>
      </c>
      <c r="R470" s="182"/>
      <c r="S470" s="182">
        <f t="shared" si="1969"/>
        <v>0</v>
      </c>
      <c r="T470" s="182"/>
      <c r="U470" s="182">
        <f t="shared" si="1970"/>
        <v>0</v>
      </c>
      <c r="V470" s="182"/>
      <c r="W470" s="183">
        <f t="shared" si="1971"/>
        <v>0</v>
      </c>
      <c r="X470" s="183"/>
      <c r="Y470" s="183">
        <v>0</v>
      </c>
      <c r="Z470" s="183"/>
      <c r="AA470" s="183">
        <v>0</v>
      </c>
      <c r="AB470" s="182">
        <f t="shared" si="1972"/>
        <v>0</v>
      </c>
      <c r="AC470" s="182">
        <f t="shared" si="1972"/>
        <v>0</v>
      </c>
      <c r="AD470" s="182"/>
      <c r="AE470" s="182">
        <f t="shared" si="1973"/>
        <v>0</v>
      </c>
      <c r="AF470" s="182"/>
      <c r="AG470" s="182"/>
      <c r="AH470" s="182"/>
      <c r="AI470" s="182">
        <f t="shared" si="1974"/>
        <v>0</v>
      </c>
      <c r="AJ470" s="182"/>
      <c r="AK470" s="182"/>
      <c r="AL470" s="182"/>
      <c r="AM470" s="182"/>
      <c r="AN470" s="184"/>
      <c r="AO470" s="182">
        <f t="shared" si="1975"/>
        <v>0</v>
      </c>
      <c r="AP470" s="182"/>
      <c r="AQ470" s="183">
        <f t="shared" si="1976"/>
        <v>0</v>
      </c>
      <c r="AR470" s="182"/>
      <c r="AS470" s="182">
        <f t="shared" si="1977"/>
        <v>0</v>
      </c>
      <c r="AT470" s="182"/>
      <c r="AU470" s="182">
        <f t="shared" si="1978"/>
        <v>0</v>
      </c>
      <c r="AV470" s="188"/>
      <c r="AW470" s="182">
        <f t="shared" si="1979"/>
        <v>0</v>
      </c>
      <c r="AX470" s="182"/>
      <c r="AY470" s="187">
        <f t="shared" si="1980"/>
        <v>0</v>
      </c>
      <c r="AZ470" s="182"/>
      <c r="BA470" s="182">
        <f t="shared" si="1981"/>
        <v>0</v>
      </c>
      <c r="BB470" s="182"/>
      <c r="BC470" s="182">
        <f t="shared" si="1982"/>
        <v>0</v>
      </c>
      <c r="BD470" s="182">
        <v>110</v>
      </c>
      <c r="BE470" s="182">
        <f t="shared" si="1983"/>
        <v>5398955.1000000006</v>
      </c>
      <c r="BF470" s="182"/>
      <c r="BG470" s="182">
        <f t="shared" si="1984"/>
        <v>0</v>
      </c>
      <c r="BH470" s="182"/>
      <c r="BI470" s="183">
        <f t="shared" si="1985"/>
        <v>0</v>
      </c>
      <c r="BJ470" s="182"/>
      <c r="BK470" s="183">
        <f t="shared" si="1986"/>
        <v>0</v>
      </c>
      <c r="BL470" s="182"/>
      <c r="BM470" s="182">
        <f t="shared" si="1987"/>
        <v>0</v>
      </c>
      <c r="BN470" s="182"/>
      <c r="BO470" s="182">
        <f t="shared" si="1988"/>
        <v>0</v>
      </c>
      <c r="BP470" s="182"/>
      <c r="BQ470" s="182">
        <f t="shared" si="1989"/>
        <v>0</v>
      </c>
      <c r="BR470" s="182"/>
      <c r="BS470" s="183">
        <f t="shared" si="1990"/>
        <v>0</v>
      </c>
      <c r="BT470" s="182"/>
      <c r="BU470" s="182">
        <f t="shared" si="1991"/>
        <v>0</v>
      </c>
      <c r="BV470" s="182"/>
      <c r="BW470" s="182">
        <f t="shared" si="1992"/>
        <v>0</v>
      </c>
      <c r="BX470" s="182"/>
      <c r="BY470" s="183">
        <f t="shared" si="1993"/>
        <v>0</v>
      </c>
      <c r="BZ470" s="182"/>
      <c r="CA470" s="187">
        <f t="shared" si="1994"/>
        <v>0</v>
      </c>
      <c r="CB470" s="182"/>
      <c r="CC470" s="182">
        <f t="shared" si="1995"/>
        <v>0</v>
      </c>
      <c r="CD470" s="182"/>
      <c r="CE470" s="182">
        <f t="shared" si="1996"/>
        <v>0</v>
      </c>
      <c r="CF470" s="182"/>
      <c r="CG470" s="182">
        <f t="shared" si="1997"/>
        <v>0</v>
      </c>
      <c r="CH470" s="182"/>
      <c r="CI470" s="182">
        <f t="shared" si="1998"/>
        <v>0</v>
      </c>
      <c r="CJ470" s="182"/>
      <c r="CK470" s="182"/>
      <c r="CL470" s="182"/>
      <c r="CM470" s="183">
        <f t="shared" si="1999"/>
        <v>0</v>
      </c>
      <c r="CN470" s="182"/>
      <c r="CO470" s="183">
        <f t="shared" si="2000"/>
        <v>0</v>
      </c>
      <c r="CP470" s="182"/>
      <c r="CQ470" s="182">
        <f t="shared" si="2001"/>
        <v>0</v>
      </c>
      <c r="CR470" s="182"/>
      <c r="CS470" s="182">
        <f t="shared" si="2002"/>
        <v>0</v>
      </c>
      <c r="CT470" s="182"/>
      <c r="CU470" s="182">
        <f t="shared" si="2003"/>
        <v>0</v>
      </c>
      <c r="CV470" s="182"/>
      <c r="CW470" s="182">
        <v>0</v>
      </c>
      <c r="CX470" s="182"/>
      <c r="CY470" s="182">
        <f t="shared" si="2004"/>
        <v>0</v>
      </c>
      <c r="CZ470" s="182"/>
      <c r="DA470" s="182">
        <v>0</v>
      </c>
      <c r="DB470" s="188">
        <v>0</v>
      </c>
      <c r="DC470" s="182">
        <f t="shared" si="2005"/>
        <v>0</v>
      </c>
      <c r="DD470" s="182"/>
      <c r="DE470" s="187"/>
      <c r="DF470" s="182"/>
      <c r="DG470" s="182">
        <f t="shared" si="2006"/>
        <v>0</v>
      </c>
      <c r="DH470" s="189"/>
      <c r="DI470" s="182">
        <f t="shared" si="2007"/>
        <v>0</v>
      </c>
      <c r="DJ470" s="182"/>
      <c r="DK470" s="182">
        <f t="shared" si="2008"/>
        <v>0</v>
      </c>
      <c r="DL470" s="182"/>
      <c r="DM470" s="182">
        <f t="shared" si="2009"/>
        <v>0</v>
      </c>
      <c r="DN470" s="182"/>
      <c r="DO470" s="190">
        <f t="shared" si="2010"/>
        <v>0</v>
      </c>
      <c r="DP470" s="187"/>
      <c r="DQ470" s="187"/>
      <c r="DR470" s="183">
        <f t="shared" si="1966"/>
        <v>110</v>
      </c>
      <c r="DS470" s="183">
        <f t="shared" si="1966"/>
        <v>5398955.1000000006</v>
      </c>
      <c r="DT470" s="182">
        <v>110</v>
      </c>
      <c r="DU470" s="182">
        <v>5398955.1000000006</v>
      </c>
      <c r="DV470" s="167">
        <f t="shared" si="2011"/>
        <v>0</v>
      </c>
      <c r="DW470" s="167">
        <f t="shared" si="2011"/>
        <v>0</v>
      </c>
    </row>
    <row r="471" spans="1:127" ht="45" customHeight="1" x14ac:dyDescent="0.25">
      <c r="A471" s="154"/>
      <c r="B471" s="176">
        <v>419</v>
      </c>
      <c r="C471" s="177" t="s">
        <v>1009</v>
      </c>
      <c r="D471" s="210" t="s">
        <v>1010</v>
      </c>
      <c r="E471" s="158">
        <v>25969</v>
      </c>
      <c r="F471" s="168">
        <v>1.8</v>
      </c>
      <c r="G471" s="168">
        <v>1</v>
      </c>
      <c r="H471" s="169"/>
      <c r="I471" s="169"/>
      <c r="J471" s="169"/>
      <c r="K471" s="106"/>
      <c r="L471" s="180">
        <v>1.4</v>
      </c>
      <c r="M471" s="180">
        <v>1.68</v>
      </c>
      <c r="N471" s="180">
        <v>2.23</v>
      </c>
      <c r="O471" s="181">
        <v>2.57</v>
      </c>
      <c r="P471" s="182">
        <v>0</v>
      </c>
      <c r="Q471" s="182">
        <f t="shared" si="1968"/>
        <v>0</v>
      </c>
      <c r="R471" s="182"/>
      <c r="S471" s="182">
        <f t="shared" si="1969"/>
        <v>0</v>
      </c>
      <c r="T471" s="182"/>
      <c r="U471" s="182">
        <f t="shared" si="1970"/>
        <v>0</v>
      </c>
      <c r="V471" s="182"/>
      <c r="W471" s="183">
        <f t="shared" si="1971"/>
        <v>0</v>
      </c>
      <c r="X471" s="183"/>
      <c r="Y471" s="183">
        <v>0</v>
      </c>
      <c r="Z471" s="183"/>
      <c r="AA471" s="183">
        <v>0</v>
      </c>
      <c r="AB471" s="182">
        <f t="shared" si="1972"/>
        <v>0</v>
      </c>
      <c r="AC471" s="182">
        <f t="shared" si="1972"/>
        <v>0</v>
      </c>
      <c r="AD471" s="182"/>
      <c r="AE471" s="182">
        <f t="shared" si="1973"/>
        <v>0</v>
      </c>
      <c r="AF471" s="182"/>
      <c r="AG471" s="182"/>
      <c r="AH471" s="182"/>
      <c r="AI471" s="182">
        <f t="shared" si="1974"/>
        <v>0</v>
      </c>
      <c r="AJ471" s="182"/>
      <c r="AK471" s="182"/>
      <c r="AL471" s="182"/>
      <c r="AM471" s="182"/>
      <c r="AN471" s="184"/>
      <c r="AO471" s="182">
        <f t="shared" si="1975"/>
        <v>0</v>
      </c>
      <c r="AP471" s="182"/>
      <c r="AQ471" s="183">
        <f t="shared" si="1976"/>
        <v>0</v>
      </c>
      <c r="AR471" s="182"/>
      <c r="AS471" s="182">
        <f t="shared" si="1977"/>
        <v>0</v>
      </c>
      <c r="AT471" s="182"/>
      <c r="AU471" s="182">
        <f t="shared" si="1978"/>
        <v>0</v>
      </c>
      <c r="AV471" s="188"/>
      <c r="AW471" s="182">
        <f t="shared" si="1979"/>
        <v>0</v>
      </c>
      <c r="AX471" s="182"/>
      <c r="AY471" s="187">
        <f t="shared" si="1980"/>
        <v>0</v>
      </c>
      <c r="AZ471" s="182"/>
      <c r="BA471" s="182">
        <f t="shared" si="1981"/>
        <v>0</v>
      </c>
      <c r="BB471" s="182"/>
      <c r="BC471" s="182">
        <f t="shared" si="1982"/>
        <v>0</v>
      </c>
      <c r="BD471" s="182"/>
      <c r="BE471" s="182">
        <f t="shared" si="1983"/>
        <v>0</v>
      </c>
      <c r="BF471" s="182"/>
      <c r="BG471" s="182">
        <f t="shared" si="1984"/>
        <v>0</v>
      </c>
      <c r="BH471" s="182"/>
      <c r="BI471" s="183">
        <f t="shared" si="1985"/>
        <v>0</v>
      </c>
      <c r="BJ471" s="182"/>
      <c r="BK471" s="183">
        <f t="shared" si="1986"/>
        <v>0</v>
      </c>
      <c r="BL471" s="182"/>
      <c r="BM471" s="182">
        <f t="shared" si="1987"/>
        <v>0</v>
      </c>
      <c r="BN471" s="182"/>
      <c r="BO471" s="182">
        <f t="shared" si="1988"/>
        <v>0</v>
      </c>
      <c r="BP471" s="182"/>
      <c r="BQ471" s="182">
        <f t="shared" si="1989"/>
        <v>0</v>
      </c>
      <c r="BR471" s="182"/>
      <c r="BS471" s="183">
        <f t="shared" si="1990"/>
        <v>0</v>
      </c>
      <c r="BT471" s="182"/>
      <c r="BU471" s="182">
        <f t="shared" si="1991"/>
        <v>0</v>
      </c>
      <c r="BV471" s="182"/>
      <c r="BW471" s="182">
        <f t="shared" si="1992"/>
        <v>0</v>
      </c>
      <c r="BX471" s="182"/>
      <c r="BY471" s="183">
        <f t="shared" si="1993"/>
        <v>0</v>
      </c>
      <c r="BZ471" s="182"/>
      <c r="CA471" s="187">
        <f t="shared" si="1994"/>
        <v>0</v>
      </c>
      <c r="CB471" s="182"/>
      <c r="CC471" s="182">
        <f t="shared" si="1995"/>
        <v>0</v>
      </c>
      <c r="CD471" s="182"/>
      <c r="CE471" s="182">
        <f t="shared" si="1996"/>
        <v>0</v>
      </c>
      <c r="CF471" s="182"/>
      <c r="CG471" s="182">
        <f t="shared" si="1997"/>
        <v>0</v>
      </c>
      <c r="CH471" s="182"/>
      <c r="CI471" s="182">
        <f t="shared" si="1998"/>
        <v>0</v>
      </c>
      <c r="CJ471" s="182"/>
      <c r="CK471" s="182"/>
      <c r="CL471" s="182"/>
      <c r="CM471" s="183">
        <f t="shared" si="1999"/>
        <v>0</v>
      </c>
      <c r="CN471" s="182"/>
      <c r="CO471" s="183">
        <f t="shared" si="2000"/>
        <v>0</v>
      </c>
      <c r="CP471" s="182"/>
      <c r="CQ471" s="182">
        <f t="shared" si="2001"/>
        <v>0</v>
      </c>
      <c r="CR471" s="182"/>
      <c r="CS471" s="182">
        <f t="shared" si="2002"/>
        <v>0</v>
      </c>
      <c r="CT471" s="182"/>
      <c r="CU471" s="182">
        <f t="shared" si="2003"/>
        <v>0</v>
      </c>
      <c r="CV471" s="182"/>
      <c r="CW471" s="182">
        <v>0</v>
      </c>
      <c r="CX471" s="182"/>
      <c r="CY471" s="182">
        <f t="shared" si="2004"/>
        <v>0</v>
      </c>
      <c r="CZ471" s="182"/>
      <c r="DA471" s="182">
        <v>0</v>
      </c>
      <c r="DB471" s="188">
        <v>0</v>
      </c>
      <c r="DC471" s="182">
        <f t="shared" si="2005"/>
        <v>0</v>
      </c>
      <c r="DD471" s="182"/>
      <c r="DE471" s="187"/>
      <c r="DF471" s="182"/>
      <c r="DG471" s="182">
        <f t="shared" si="2006"/>
        <v>0</v>
      </c>
      <c r="DH471" s="189"/>
      <c r="DI471" s="182">
        <f t="shared" si="2007"/>
        <v>0</v>
      </c>
      <c r="DJ471" s="182"/>
      <c r="DK471" s="182">
        <f t="shared" si="2008"/>
        <v>0</v>
      </c>
      <c r="DL471" s="182"/>
      <c r="DM471" s="182">
        <f t="shared" si="2009"/>
        <v>0</v>
      </c>
      <c r="DN471" s="182"/>
      <c r="DO471" s="190">
        <f t="shared" si="2010"/>
        <v>0</v>
      </c>
      <c r="DP471" s="187"/>
      <c r="DQ471" s="187"/>
      <c r="DR471" s="183">
        <f t="shared" si="1966"/>
        <v>0</v>
      </c>
      <c r="DS471" s="183">
        <f t="shared" si="1966"/>
        <v>0</v>
      </c>
      <c r="DT471" s="182">
        <v>0</v>
      </c>
      <c r="DU471" s="182">
        <v>0</v>
      </c>
      <c r="DV471" s="167">
        <f t="shared" si="2011"/>
        <v>0</v>
      </c>
      <c r="DW471" s="167">
        <f t="shared" si="2011"/>
        <v>0</v>
      </c>
    </row>
    <row r="472" spans="1:127" ht="60" customHeight="1" x14ac:dyDescent="0.25">
      <c r="A472" s="154"/>
      <c r="B472" s="176">
        <v>420</v>
      </c>
      <c r="C472" s="177" t="s">
        <v>1011</v>
      </c>
      <c r="D472" s="210" t="s">
        <v>1012</v>
      </c>
      <c r="E472" s="158">
        <v>25969</v>
      </c>
      <c r="F472" s="179">
        <v>4.8099999999999996</v>
      </c>
      <c r="G472" s="168">
        <v>1</v>
      </c>
      <c r="H472" s="169"/>
      <c r="I472" s="169"/>
      <c r="J472" s="169"/>
      <c r="K472" s="106"/>
      <c r="L472" s="180">
        <v>1.4</v>
      </c>
      <c r="M472" s="180">
        <v>1.68</v>
      </c>
      <c r="N472" s="180">
        <v>2.23</v>
      </c>
      <c r="O472" s="181">
        <v>2.57</v>
      </c>
      <c r="P472" s="182">
        <v>0</v>
      </c>
      <c r="Q472" s="182">
        <f t="shared" si="1968"/>
        <v>0</v>
      </c>
      <c r="R472" s="182"/>
      <c r="S472" s="182">
        <f t="shared" si="1969"/>
        <v>0</v>
      </c>
      <c r="T472" s="182"/>
      <c r="U472" s="182">
        <f t="shared" si="1970"/>
        <v>0</v>
      </c>
      <c r="V472" s="182"/>
      <c r="W472" s="183">
        <f t="shared" si="1971"/>
        <v>0</v>
      </c>
      <c r="X472" s="183"/>
      <c r="Y472" s="183">
        <v>0</v>
      </c>
      <c r="Z472" s="183"/>
      <c r="AA472" s="183">
        <v>0</v>
      </c>
      <c r="AB472" s="182">
        <f t="shared" si="1972"/>
        <v>0</v>
      </c>
      <c r="AC472" s="182">
        <f t="shared" si="1972"/>
        <v>0</v>
      </c>
      <c r="AD472" s="182"/>
      <c r="AE472" s="182">
        <f t="shared" si="1973"/>
        <v>0</v>
      </c>
      <c r="AF472" s="182"/>
      <c r="AG472" s="182"/>
      <c r="AH472" s="182"/>
      <c r="AI472" s="182">
        <f t="shared" si="1974"/>
        <v>0</v>
      </c>
      <c r="AJ472" s="182"/>
      <c r="AK472" s="182"/>
      <c r="AL472" s="182"/>
      <c r="AM472" s="182"/>
      <c r="AN472" s="184"/>
      <c r="AO472" s="182">
        <f t="shared" si="1975"/>
        <v>0</v>
      </c>
      <c r="AP472" s="182"/>
      <c r="AQ472" s="183">
        <f t="shared" si="1976"/>
        <v>0</v>
      </c>
      <c r="AR472" s="182"/>
      <c r="AS472" s="182">
        <f t="shared" si="1977"/>
        <v>0</v>
      </c>
      <c r="AT472" s="182"/>
      <c r="AU472" s="182">
        <f t="shared" si="1978"/>
        <v>0</v>
      </c>
      <c r="AV472" s="188"/>
      <c r="AW472" s="182">
        <f t="shared" si="1979"/>
        <v>0</v>
      </c>
      <c r="AX472" s="182"/>
      <c r="AY472" s="187">
        <f t="shared" si="1980"/>
        <v>0</v>
      </c>
      <c r="AZ472" s="182"/>
      <c r="BA472" s="182">
        <f t="shared" si="1981"/>
        <v>0</v>
      </c>
      <c r="BB472" s="182"/>
      <c r="BC472" s="182">
        <f t="shared" si="1982"/>
        <v>0</v>
      </c>
      <c r="BD472" s="182"/>
      <c r="BE472" s="182">
        <f t="shared" si="1983"/>
        <v>0</v>
      </c>
      <c r="BF472" s="182"/>
      <c r="BG472" s="182">
        <f t="shared" si="1984"/>
        <v>0</v>
      </c>
      <c r="BH472" s="182"/>
      <c r="BI472" s="183">
        <f t="shared" si="1985"/>
        <v>0</v>
      </c>
      <c r="BJ472" s="182"/>
      <c r="BK472" s="183">
        <f t="shared" si="1986"/>
        <v>0</v>
      </c>
      <c r="BL472" s="182"/>
      <c r="BM472" s="182">
        <f t="shared" si="1987"/>
        <v>0</v>
      </c>
      <c r="BN472" s="182"/>
      <c r="BO472" s="182">
        <f t="shared" si="1988"/>
        <v>0</v>
      </c>
      <c r="BP472" s="182"/>
      <c r="BQ472" s="182">
        <f t="shared" si="1989"/>
        <v>0</v>
      </c>
      <c r="BR472" s="182"/>
      <c r="BS472" s="183">
        <f t="shared" si="1990"/>
        <v>0</v>
      </c>
      <c r="BT472" s="182"/>
      <c r="BU472" s="182">
        <f t="shared" si="1991"/>
        <v>0</v>
      </c>
      <c r="BV472" s="182"/>
      <c r="BW472" s="182">
        <f t="shared" si="1992"/>
        <v>0</v>
      </c>
      <c r="BX472" s="182"/>
      <c r="BY472" s="183">
        <f t="shared" si="1993"/>
        <v>0</v>
      </c>
      <c r="BZ472" s="182"/>
      <c r="CA472" s="187">
        <f t="shared" si="1994"/>
        <v>0</v>
      </c>
      <c r="CB472" s="182"/>
      <c r="CC472" s="182">
        <f t="shared" si="1995"/>
        <v>0</v>
      </c>
      <c r="CD472" s="182"/>
      <c r="CE472" s="182">
        <f t="shared" si="1996"/>
        <v>0</v>
      </c>
      <c r="CF472" s="182"/>
      <c r="CG472" s="182">
        <f t="shared" si="1997"/>
        <v>0</v>
      </c>
      <c r="CH472" s="182"/>
      <c r="CI472" s="182">
        <f t="shared" si="1998"/>
        <v>0</v>
      </c>
      <c r="CJ472" s="182"/>
      <c r="CK472" s="182"/>
      <c r="CL472" s="182"/>
      <c r="CM472" s="183">
        <f t="shared" si="1999"/>
        <v>0</v>
      </c>
      <c r="CN472" s="182"/>
      <c r="CO472" s="183">
        <f t="shared" si="2000"/>
        <v>0</v>
      </c>
      <c r="CP472" s="182"/>
      <c r="CQ472" s="182">
        <f t="shared" si="2001"/>
        <v>0</v>
      </c>
      <c r="CR472" s="182"/>
      <c r="CS472" s="182">
        <f t="shared" si="2002"/>
        <v>0</v>
      </c>
      <c r="CT472" s="182"/>
      <c r="CU472" s="182">
        <f t="shared" si="2003"/>
        <v>0</v>
      </c>
      <c r="CV472" s="182"/>
      <c r="CW472" s="182">
        <v>0</v>
      </c>
      <c r="CX472" s="182"/>
      <c r="CY472" s="182">
        <f t="shared" si="2004"/>
        <v>0</v>
      </c>
      <c r="CZ472" s="182"/>
      <c r="DA472" s="182">
        <v>0</v>
      </c>
      <c r="DB472" s="188">
        <v>0</v>
      </c>
      <c r="DC472" s="182">
        <f t="shared" si="2005"/>
        <v>0</v>
      </c>
      <c r="DD472" s="182"/>
      <c r="DE472" s="187"/>
      <c r="DF472" s="182"/>
      <c r="DG472" s="182">
        <f t="shared" si="2006"/>
        <v>0</v>
      </c>
      <c r="DH472" s="189"/>
      <c r="DI472" s="182">
        <f t="shared" si="2007"/>
        <v>0</v>
      </c>
      <c r="DJ472" s="182"/>
      <c r="DK472" s="182">
        <f t="shared" si="2008"/>
        <v>0</v>
      </c>
      <c r="DL472" s="182"/>
      <c r="DM472" s="182">
        <f t="shared" si="2009"/>
        <v>0</v>
      </c>
      <c r="DN472" s="182"/>
      <c r="DO472" s="190">
        <f t="shared" si="2010"/>
        <v>0</v>
      </c>
      <c r="DP472" s="187"/>
      <c r="DQ472" s="187"/>
      <c r="DR472" s="183">
        <f t="shared" si="1966"/>
        <v>0</v>
      </c>
      <c r="DS472" s="183">
        <f t="shared" si="1966"/>
        <v>0</v>
      </c>
      <c r="DT472" s="182">
        <v>0</v>
      </c>
      <c r="DU472" s="182">
        <v>0</v>
      </c>
      <c r="DV472" s="167">
        <f t="shared" si="2011"/>
        <v>0</v>
      </c>
      <c r="DW472" s="167">
        <f t="shared" si="2011"/>
        <v>0</v>
      </c>
    </row>
    <row r="473" spans="1:127" ht="30" customHeight="1" x14ac:dyDescent="0.25">
      <c r="A473" s="154"/>
      <c r="B473" s="176">
        <v>421</v>
      </c>
      <c r="C473" s="177" t="s">
        <v>1013</v>
      </c>
      <c r="D473" s="210" t="s">
        <v>1014</v>
      </c>
      <c r="E473" s="158">
        <v>25969</v>
      </c>
      <c r="F473" s="179">
        <v>2.75</v>
      </c>
      <c r="G473" s="168">
        <v>1</v>
      </c>
      <c r="H473" s="169"/>
      <c r="I473" s="169"/>
      <c r="J473" s="169"/>
      <c r="K473" s="106"/>
      <c r="L473" s="180">
        <v>1.4</v>
      </c>
      <c r="M473" s="180">
        <v>1.68</v>
      </c>
      <c r="N473" s="180">
        <v>2.23</v>
      </c>
      <c r="O473" s="181">
        <v>2.57</v>
      </c>
      <c r="P473" s="182">
        <v>0</v>
      </c>
      <c r="Q473" s="182">
        <f t="shared" si="1968"/>
        <v>0</v>
      </c>
      <c r="R473" s="182"/>
      <c r="S473" s="182">
        <f t="shared" si="1969"/>
        <v>0</v>
      </c>
      <c r="T473" s="182"/>
      <c r="U473" s="182">
        <f t="shared" si="1970"/>
        <v>0</v>
      </c>
      <c r="V473" s="182"/>
      <c r="W473" s="183">
        <f t="shared" si="1971"/>
        <v>0</v>
      </c>
      <c r="X473" s="183"/>
      <c r="Y473" s="183">
        <v>0</v>
      </c>
      <c r="Z473" s="183"/>
      <c r="AA473" s="183">
        <v>0</v>
      </c>
      <c r="AB473" s="182">
        <f t="shared" si="1972"/>
        <v>0</v>
      </c>
      <c r="AC473" s="182">
        <f t="shared" si="1972"/>
        <v>0</v>
      </c>
      <c r="AD473" s="182"/>
      <c r="AE473" s="182">
        <f t="shared" si="1973"/>
        <v>0</v>
      </c>
      <c r="AF473" s="182"/>
      <c r="AG473" s="182"/>
      <c r="AH473" s="182"/>
      <c r="AI473" s="182">
        <f t="shared" si="1974"/>
        <v>0</v>
      </c>
      <c r="AJ473" s="182"/>
      <c r="AK473" s="182"/>
      <c r="AL473" s="182"/>
      <c r="AM473" s="182"/>
      <c r="AN473" s="184"/>
      <c r="AO473" s="182">
        <f t="shared" si="1975"/>
        <v>0</v>
      </c>
      <c r="AP473" s="182"/>
      <c r="AQ473" s="183">
        <f t="shared" si="1976"/>
        <v>0</v>
      </c>
      <c r="AR473" s="182"/>
      <c r="AS473" s="182">
        <f t="shared" si="1977"/>
        <v>0</v>
      </c>
      <c r="AT473" s="182"/>
      <c r="AU473" s="182">
        <f t="shared" si="1978"/>
        <v>0</v>
      </c>
      <c r="AV473" s="188"/>
      <c r="AW473" s="182">
        <f t="shared" si="1979"/>
        <v>0</v>
      </c>
      <c r="AX473" s="182"/>
      <c r="AY473" s="187">
        <f t="shared" si="1980"/>
        <v>0</v>
      </c>
      <c r="AZ473" s="182"/>
      <c r="BA473" s="182">
        <f t="shared" si="1981"/>
        <v>0</v>
      </c>
      <c r="BB473" s="182"/>
      <c r="BC473" s="182">
        <f t="shared" si="1982"/>
        <v>0</v>
      </c>
      <c r="BD473" s="182">
        <v>780</v>
      </c>
      <c r="BE473" s="182">
        <f t="shared" si="1983"/>
        <v>70186416.299999997</v>
      </c>
      <c r="BF473" s="182"/>
      <c r="BG473" s="182">
        <f t="shared" si="1984"/>
        <v>0</v>
      </c>
      <c r="BH473" s="182"/>
      <c r="BI473" s="183">
        <f t="shared" si="1985"/>
        <v>0</v>
      </c>
      <c r="BJ473" s="182"/>
      <c r="BK473" s="183">
        <f t="shared" si="1986"/>
        <v>0</v>
      </c>
      <c r="BL473" s="182"/>
      <c r="BM473" s="182">
        <f t="shared" si="1987"/>
        <v>0</v>
      </c>
      <c r="BN473" s="182"/>
      <c r="BO473" s="182">
        <f t="shared" si="1988"/>
        <v>0</v>
      </c>
      <c r="BP473" s="182"/>
      <c r="BQ473" s="182">
        <f t="shared" si="1989"/>
        <v>0</v>
      </c>
      <c r="BR473" s="182"/>
      <c r="BS473" s="183">
        <f t="shared" si="1990"/>
        <v>0</v>
      </c>
      <c r="BT473" s="182"/>
      <c r="BU473" s="182">
        <f t="shared" si="1991"/>
        <v>0</v>
      </c>
      <c r="BV473" s="182"/>
      <c r="BW473" s="182">
        <f t="shared" si="1992"/>
        <v>0</v>
      </c>
      <c r="BX473" s="182"/>
      <c r="BY473" s="183">
        <f t="shared" si="1993"/>
        <v>0</v>
      </c>
      <c r="BZ473" s="182"/>
      <c r="CA473" s="187">
        <f t="shared" si="1994"/>
        <v>0</v>
      </c>
      <c r="CB473" s="182"/>
      <c r="CC473" s="182">
        <f t="shared" si="1995"/>
        <v>0</v>
      </c>
      <c r="CD473" s="182"/>
      <c r="CE473" s="182">
        <f t="shared" si="1996"/>
        <v>0</v>
      </c>
      <c r="CF473" s="182"/>
      <c r="CG473" s="182">
        <f t="shared" si="1997"/>
        <v>0</v>
      </c>
      <c r="CH473" s="182"/>
      <c r="CI473" s="182">
        <f t="shared" si="1998"/>
        <v>0</v>
      </c>
      <c r="CJ473" s="182"/>
      <c r="CK473" s="182"/>
      <c r="CL473" s="182"/>
      <c r="CM473" s="183">
        <f t="shared" si="1999"/>
        <v>0</v>
      </c>
      <c r="CN473" s="182"/>
      <c r="CO473" s="183">
        <f t="shared" si="2000"/>
        <v>0</v>
      </c>
      <c r="CP473" s="182"/>
      <c r="CQ473" s="182">
        <f t="shared" si="2001"/>
        <v>0</v>
      </c>
      <c r="CR473" s="182"/>
      <c r="CS473" s="182">
        <f t="shared" si="2002"/>
        <v>0</v>
      </c>
      <c r="CT473" s="182"/>
      <c r="CU473" s="182">
        <f t="shared" si="2003"/>
        <v>0</v>
      </c>
      <c r="CV473" s="182"/>
      <c r="CW473" s="182">
        <v>0</v>
      </c>
      <c r="CX473" s="182"/>
      <c r="CY473" s="182">
        <f t="shared" si="2004"/>
        <v>0</v>
      </c>
      <c r="CZ473" s="182"/>
      <c r="DA473" s="182">
        <v>0</v>
      </c>
      <c r="DB473" s="188">
        <v>0</v>
      </c>
      <c r="DC473" s="182">
        <f t="shared" si="2005"/>
        <v>0</v>
      </c>
      <c r="DD473" s="182"/>
      <c r="DE473" s="187"/>
      <c r="DF473" s="182"/>
      <c r="DG473" s="182">
        <f t="shared" si="2006"/>
        <v>0</v>
      </c>
      <c r="DH473" s="189"/>
      <c r="DI473" s="182">
        <f t="shared" si="2007"/>
        <v>0</v>
      </c>
      <c r="DJ473" s="182"/>
      <c r="DK473" s="182">
        <f t="shared" si="2008"/>
        <v>0</v>
      </c>
      <c r="DL473" s="182"/>
      <c r="DM473" s="182">
        <f t="shared" si="2009"/>
        <v>0</v>
      </c>
      <c r="DN473" s="182"/>
      <c r="DO473" s="190">
        <f t="shared" si="2010"/>
        <v>0</v>
      </c>
      <c r="DP473" s="187"/>
      <c r="DQ473" s="187"/>
      <c r="DR473" s="183">
        <f t="shared" si="1966"/>
        <v>780</v>
      </c>
      <c r="DS473" s="183">
        <f t="shared" si="1966"/>
        <v>70186416.299999997</v>
      </c>
      <c r="DT473" s="182">
        <v>780</v>
      </c>
      <c r="DU473" s="182">
        <v>70186416.299999997</v>
      </c>
      <c r="DV473" s="167">
        <f t="shared" si="2011"/>
        <v>0</v>
      </c>
      <c r="DW473" s="167">
        <f t="shared" si="2011"/>
        <v>0</v>
      </c>
    </row>
    <row r="474" spans="1:127" ht="45" customHeight="1" x14ac:dyDescent="0.25">
      <c r="A474" s="154"/>
      <c r="B474" s="176">
        <v>422</v>
      </c>
      <c r="C474" s="177" t="s">
        <v>1015</v>
      </c>
      <c r="D474" s="210" t="s">
        <v>1016</v>
      </c>
      <c r="E474" s="158">
        <v>25969</v>
      </c>
      <c r="F474" s="179">
        <v>2.35</v>
      </c>
      <c r="G474" s="168">
        <v>1</v>
      </c>
      <c r="H474" s="169"/>
      <c r="I474" s="169"/>
      <c r="J474" s="169"/>
      <c r="K474" s="106"/>
      <c r="L474" s="180">
        <v>1.4</v>
      </c>
      <c r="M474" s="180">
        <v>1.68</v>
      </c>
      <c r="N474" s="180">
        <v>2.23</v>
      </c>
      <c r="O474" s="181">
        <v>2.57</v>
      </c>
      <c r="P474" s="182">
        <v>0</v>
      </c>
      <c r="Q474" s="182">
        <f t="shared" si="1968"/>
        <v>0</v>
      </c>
      <c r="R474" s="182"/>
      <c r="S474" s="182">
        <f t="shared" si="1969"/>
        <v>0</v>
      </c>
      <c r="T474" s="182"/>
      <c r="U474" s="182">
        <f t="shared" si="1970"/>
        <v>0</v>
      </c>
      <c r="V474" s="182"/>
      <c r="W474" s="183">
        <f t="shared" si="1971"/>
        <v>0</v>
      </c>
      <c r="X474" s="183"/>
      <c r="Y474" s="183">
        <v>0</v>
      </c>
      <c r="Z474" s="183"/>
      <c r="AA474" s="183">
        <v>0</v>
      </c>
      <c r="AB474" s="182">
        <f t="shared" si="1972"/>
        <v>0</v>
      </c>
      <c r="AC474" s="182">
        <f t="shared" si="1972"/>
        <v>0</v>
      </c>
      <c r="AD474" s="182"/>
      <c r="AE474" s="182">
        <f t="shared" si="1973"/>
        <v>0</v>
      </c>
      <c r="AF474" s="182"/>
      <c r="AG474" s="182"/>
      <c r="AH474" s="182"/>
      <c r="AI474" s="182">
        <f t="shared" si="1974"/>
        <v>0</v>
      </c>
      <c r="AJ474" s="182"/>
      <c r="AK474" s="182"/>
      <c r="AL474" s="182"/>
      <c r="AM474" s="182"/>
      <c r="AN474" s="184"/>
      <c r="AO474" s="182">
        <f t="shared" si="1975"/>
        <v>0</v>
      </c>
      <c r="AP474" s="182"/>
      <c r="AQ474" s="183">
        <f t="shared" si="1976"/>
        <v>0</v>
      </c>
      <c r="AR474" s="182"/>
      <c r="AS474" s="182">
        <f t="shared" si="1977"/>
        <v>0</v>
      </c>
      <c r="AT474" s="182"/>
      <c r="AU474" s="182">
        <f t="shared" si="1978"/>
        <v>0</v>
      </c>
      <c r="AV474" s="188"/>
      <c r="AW474" s="182">
        <f t="shared" si="1979"/>
        <v>0</v>
      </c>
      <c r="AX474" s="182"/>
      <c r="AY474" s="187">
        <f t="shared" si="1980"/>
        <v>0</v>
      </c>
      <c r="AZ474" s="182"/>
      <c r="BA474" s="182">
        <f t="shared" si="1981"/>
        <v>0</v>
      </c>
      <c r="BB474" s="182"/>
      <c r="BC474" s="182">
        <f t="shared" si="1982"/>
        <v>0</v>
      </c>
      <c r="BD474" s="182">
        <v>20</v>
      </c>
      <c r="BE474" s="182">
        <f t="shared" si="1983"/>
        <v>1537884.18</v>
      </c>
      <c r="BF474" s="182"/>
      <c r="BG474" s="182">
        <f t="shared" si="1984"/>
        <v>0</v>
      </c>
      <c r="BH474" s="182"/>
      <c r="BI474" s="183">
        <f t="shared" si="1985"/>
        <v>0</v>
      </c>
      <c r="BJ474" s="182"/>
      <c r="BK474" s="183">
        <f t="shared" si="1986"/>
        <v>0</v>
      </c>
      <c r="BL474" s="182"/>
      <c r="BM474" s="182">
        <f t="shared" si="1987"/>
        <v>0</v>
      </c>
      <c r="BN474" s="182"/>
      <c r="BO474" s="182">
        <f t="shared" si="1988"/>
        <v>0</v>
      </c>
      <c r="BP474" s="182"/>
      <c r="BQ474" s="182">
        <f t="shared" si="1989"/>
        <v>0</v>
      </c>
      <c r="BR474" s="182"/>
      <c r="BS474" s="183">
        <f t="shared" si="1990"/>
        <v>0</v>
      </c>
      <c r="BT474" s="182"/>
      <c r="BU474" s="182">
        <f t="shared" si="1991"/>
        <v>0</v>
      </c>
      <c r="BV474" s="182"/>
      <c r="BW474" s="182">
        <f t="shared" si="1992"/>
        <v>0</v>
      </c>
      <c r="BX474" s="182"/>
      <c r="BY474" s="183">
        <f t="shared" si="1993"/>
        <v>0</v>
      </c>
      <c r="BZ474" s="182"/>
      <c r="CA474" s="187">
        <f t="shared" si="1994"/>
        <v>0</v>
      </c>
      <c r="CB474" s="182"/>
      <c r="CC474" s="182">
        <f t="shared" si="1995"/>
        <v>0</v>
      </c>
      <c r="CD474" s="182"/>
      <c r="CE474" s="182">
        <f t="shared" si="1996"/>
        <v>0</v>
      </c>
      <c r="CF474" s="182"/>
      <c r="CG474" s="182">
        <f t="shared" si="1997"/>
        <v>0</v>
      </c>
      <c r="CH474" s="182"/>
      <c r="CI474" s="182">
        <f t="shared" si="1998"/>
        <v>0</v>
      </c>
      <c r="CJ474" s="182"/>
      <c r="CK474" s="182"/>
      <c r="CL474" s="182"/>
      <c r="CM474" s="183">
        <f t="shared" si="1999"/>
        <v>0</v>
      </c>
      <c r="CN474" s="182"/>
      <c r="CO474" s="183">
        <f t="shared" si="2000"/>
        <v>0</v>
      </c>
      <c r="CP474" s="182"/>
      <c r="CQ474" s="182">
        <f t="shared" si="2001"/>
        <v>0</v>
      </c>
      <c r="CR474" s="182"/>
      <c r="CS474" s="182">
        <f t="shared" si="2002"/>
        <v>0</v>
      </c>
      <c r="CT474" s="182"/>
      <c r="CU474" s="182">
        <f t="shared" si="2003"/>
        <v>0</v>
      </c>
      <c r="CV474" s="182"/>
      <c r="CW474" s="182">
        <v>0</v>
      </c>
      <c r="CX474" s="182"/>
      <c r="CY474" s="182">
        <f t="shared" si="2004"/>
        <v>0</v>
      </c>
      <c r="CZ474" s="182"/>
      <c r="DA474" s="182">
        <v>0</v>
      </c>
      <c r="DB474" s="188">
        <v>0</v>
      </c>
      <c r="DC474" s="182">
        <f t="shared" si="2005"/>
        <v>0</v>
      </c>
      <c r="DD474" s="182"/>
      <c r="DE474" s="187"/>
      <c r="DF474" s="182"/>
      <c r="DG474" s="182">
        <f t="shared" si="2006"/>
        <v>0</v>
      </c>
      <c r="DH474" s="189"/>
      <c r="DI474" s="182">
        <f t="shared" si="2007"/>
        <v>0</v>
      </c>
      <c r="DJ474" s="182"/>
      <c r="DK474" s="182">
        <f t="shared" si="2008"/>
        <v>0</v>
      </c>
      <c r="DL474" s="182"/>
      <c r="DM474" s="182">
        <f t="shared" si="2009"/>
        <v>0</v>
      </c>
      <c r="DN474" s="182"/>
      <c r="DO474" s="190">
        <f t="shared" si="2010"/>
        <v>0</v>
      </c>
      <c r="DP474" s="187"/>
      <c r="DQ474" s="187"/>
      <c r="DR474" s="183">
        <f t="shared" si="1966"/>
        <v>20</v>
      </c>
      <c r="DS474" s="183">
        <f t="shared" si="1966"/>
        <v>1537884.18</v>
      </c>
      <c r="DT474" s="182">
        <v>20</v>
      </c>
      <c r="DU474" s="182">
        <v>1537884.18</v>
      </c>
      <c r="DV474" s="167">
        <f t="shared" si="2011"/>
        <v>0</v>
      </c>
      <c r="DW474" s="167">
        <f t="shared" si="2011"/>
        <v>0</v>
      </c>
    </row>
    <row r="475" spans="1:127" ht="30" customHeight="1" x14ac:dyDescent="0.25">
      <c r="A475" s="154"/>
      <c r="B475" s="176">
        <v>423</v>
      </c>
      <c r="C475" s="310" t="s">
        <v>1017</v>
      </c>
      <c r="D475" s="210" t="s">
        <v>1018</v>
      </c>
      <c r="E475" s="158">
        <v>25969</v>
      </c>
      <c r="F475" s="179">
        <v>1.44</v>
      </c>
      <c r="G475" s="168">
        <v>1</v>
      </c>
      <c r="H475" s="169"/>
      <c r="I475" s="169"/>
      <c r="J475" s="169"/>
      <c r="K475" s="106"/>
      <c r="L475" s="180">
        <v>1.4</v>
      </c>
      <c r="M475" s="180">
        <v>1.68</v>
      </c>
      <c r="N475" s="180">
        <v>2.23</v>
      </c>
      <c r="O475" s="181">
        <v>2.57</v>
      </c>
      <c r="P475" s="182">
        <v>0</v>
      </c>
      <c r="Q475" s="182">
        <f t="shared" si="1968"/>
        <v>0</v>
      </c>
      <c r="R475" s="182"/>
      <c r="S475" s="182">
        <f t="shared" si="1969"/>
        <v>0</v>
      </c>
      <c r="T475" s="182"/>
      <c r="U475" s="182">
        <f t="shared" si="1970"/>
        <v>0</v>
      </c>
      <c r="V475" s="182"/>
      <c r="W475" s="183">
        <f t="shared" si="1971"/>
        <v>0</v>
      </c>
      <c r="X475" s="183"/>
      <c r="Y475" s="183">
        <v>0</v>
      </c>
      <c r="Z475" s="183"/>
      <c r="AA475" s="183">
        <v>0</v>
      </c>
      <c r="AB475" s="182">
        <f t="shared" si="1972"/>
        <v>0</v>
      </c>
      <c r="AC475" s="182">
        <f t="shared" si="1972"/>
        <v>0</v>
      </c>
      <c r="AD475" s="182"/>
      <c r="AE475" s="182">
        <f t="shared" si="1973"/>
        <v>0</v>
      </c>
      <c r="AF475" s="182"/>
      <c r="AG475" s="182"/>
      <c r="AH475" s="182"/>
      <c r="AI475" s="182">
        <f t="shared" si="1974"/>
        <v>0</v>
      </c>
      <c r="AJ475" s="182"/>
      <c r="AK475" s="182"/>
      <c r="AL475" s="182"/>
      <c r="AM475" s="182"/>
      <c r="AN475" s="184"/>
      <c r="AO475" s="182">
        <f t="shared" si="1975"/>
        <v>0</v>
      </c>
      <c r="AP475" s="182"/>
      <c r="AQ475" s="183">
        <f t="shared" si="1976"/>
        <v>0</v>
      </c>
      <c r="AR475" s="182"/>
      <c r="AS475" s="182">
        <f t="shared" si="1977"/>
        <v>0</v>
      </c>
      <c r="AT475" s="182"/>
      <c r="AU475" s="182">
        <f t="shared" si="1978"/>
        <v>0</v>
      </c>
      <c r="AV475" s="188"/>
      <c r="AW475" s="182">
        <f t="shared" si="1979"/>
        <v>0</v>
      </c>
      <c r="AX475" s="182"/>
      <c r="AY475" s="187">
        <f t="shared" si="1980"/>
        <v>0</v>
      </c>
      <c r="AZ475" s="182"/>
      <c r="BA475" s="182">
        <f t="shared" si="1981"/>
        <v>0</v>
      </c>
      <c r="BB475" s="182"/>
      <c r="BC475" s="182">
        <f t="shared" si="1982"/>
        <v>0</v>
      </c>
      <c r="BD475" s="182"/>
      <c r="BE475" s="182">
        <f t="shared" si="1983"/>
        <v>0</v>
      </c>
      <c r="BF475" s="182"/>
      <c r="BG475" s="182">
        <f t="shared" si="1984"/>
        <v>0</v>
      </c>
      <c r="BH475" s="182"/>
      <c r="BI475" s="183">
        <f t="shared" si="1985"/>
        <v>0</v>
      </c>
      <c r="BJ475" s="182"/>
      <c r="BK475" s="183">
        <f t="shared" si="1986"/>
        <v>0</v>
      </c>
      <c r="BL475" s="182"/>
      <c r="BM475" s="182">
        <f t="shared" si="1987"/>
        <v>0</v>
      </c>
      <c r="BN475" s="182"/>
      <c r="BO475" s="182">
        <f t="shared" si="1988"/>
        <v>0</v>
      </c>
      <c r="BP475" s="182"/>
      <c r="BQ475" s="182">
        <f t="shared" si="1989"/>
        <v>0</v>
      </c>
      <c r="BR475" s="182"/>
      <c r="BS475" s="183">
        <f t="shared" si="1990"/>
        <v>0</v>
      </c>
      <c r="BT475" s="182"/>
      <c r="BU475" s="182">
        <f t="shared" si="1991"/>
        <v>0</v>
      </c>
      <c r="BV475" s="182"/>
      <c r="BW475" s="182">
        <f t="shared" si="1992"/>
        <v>0</v>
      </c>
      <c r="BX475" s="182"/>
      <c r="BY475" s="183">
        <f t="shared" si="1993"/>
        <v>0</v>
      </c>
      <c r="BZ475" s="182"/>
      <c r="CA475" s="187">
        <f t="shared" si="1994"/>
        <v>0</v>
      </c>
      <c r="CB475" s="182"/>
      <c r="CC475" s="182">
        <f t="shared" si="1995"/>
        <v>0</v>
      </c>
      <c r="CD475" s="182"/>
      <c r="CE475" s="182">
        <f t="shared" si="1996"/>
        <v>0</v>
      </c>
      <c r="CF475" s="182"/>
      <c r="CG475" s="182">
        <f t="shared" si="1997"/>
        <v>0</v>
      </c>
      <c r="CH475" s="182"/>
      <c r="CI475" s="182">
        <f t="shared" si="1998"/>
        <v>0</v>
      </c>
      <c r="CJ475" s="182"/>
      <c r="CK475" s="182"/>
      <c r="CL475" s="182"/>
      <c r="CM475" s="183">
        <f t="shared" si="1999"/>
        <v>0</v>
      </c>
      <c r="CN475" s="182"/>
      <c r="CO475" s="183">
        <f t="shared" si="2000"/>
        <v>0</v>
      </c>
      <c r="CP475" s="182"/>
      <c r="CQ475" s="182">
        <f t="shared" si="2001"/>
        <v>0</v>
      </c>
      <c r="CR475" s="182"/>
      <c r="CS475" s="182">
        <f t="shared" si="2002"/>
        <v>0</v>
      </c>
      <c r="CT475" s="182"/>
      <c r="CU475" s="182">
        <f t="shared" si="2003"/>
        <v>0</v>
      </c>
      <c r="CV475" s="182"/>
      <c r="CW475" s="182">
        <v>0</v>
      </c>
      <c r="CX475" s="182"/>
      <c r="CY475" s="182">
        <f t="shared" si="2004"/>
        <v>0</v>
      </c>
      <c r="CZ475" s="182"/>
      <c r="DA475" s="182">
        <v>0</v>
      </c>
      <c r="DB475" s="188"/>
      <c r="DC475" s="182">
        <f t="shared" si="2005"/>
        <v>0</v>
      </c>
      <c r="DD475" s="182"/>
      <c r="DE475" s="187"/>
      <c r="DF475" s="182"/>
      <c r="DG475" s="182">
        <f t="shared" si="2006"/>
        <v>0</v>
      </c>
      <c r="DH475" s="189"/>
      <c r="DI475" s="182">
        <f t="shared" si="2007"/>
        <v>0</v>
      </c>
      <c r="DJ475" s="182"/>
      <c r="DK475" s="182">
        <f t="shared" si="2008"/>
        <v>0</v>
      </c>
      <c r="DL475" s="182"/>
      <c r="DM475" s="182">
        <f t="shared" si="2009"/>
        <v>0</v>
      </c>
      <c r="DN475" s="182"/>
      <c r="DO475" s="190">
        <f t="shared" si="2010"/>
        <v>0</v>
      </c>
      <c r="DP475" s="187"/>
      <c r="DQ475" s="187"/>
      <c r="DR475" s="183">
        <f t="shared" si="1966"/>
        <v>0</v>
      </c>
      <c r="DS475" s="183">
        <f t="shared" si="1966"/>
        <v>0</v>
      </c>
      <c r="DT475" s="182">
        <v>0</v>
      </c>
      <c r="DU475" s="182">
        <v>0</v>
      </c>
      <c r="DV475" s="167">
        <f t="shared" si="2011"/>
        <v>0</v>
      </c>
      <c r="DW475" s="167">
        <f t="shared" si="2011"/>
        <v>0</v>
      </c>
    </row>
    <row r="476" spans="1:127" ht="30" customHeight="1" x14ac:dyDescent="0.25">
      <c r="A476" s="154"/>
      <c r="B476" s="176">
        <v>424</v>
      </c>
      <c r="C476" s="310" t="s">
        <v>1019</v>
      </c>
      <c r="D476" s="210" t="s">
        <v>1020</v>
      </c>
      <c r="E476" s="158">
        <v>25969</v>
      </c>
      <c r="F476" s="179">
        <v>1.24</v>
      </c>
      <c r="G476" s="168">
        <v>1</v>
      </c>
      <c r="H476" s="169"/>
      <c r="I476" s="169"/>
      <c r="J476" s="169"/>
      <c r="K476" s="106"/>
      <c r="L476" s="180">
        <v>1.4</v>
      </c>
      <c r="M476" s="180">
        <v>1.68</v>
      </c>
      <c r="N476" s="180">
        <v>2.23</v>
      </c>
      <c r="O476" s="181">
        <v>2.57</v>
      </c>
      <c r="P476" s="182">
        <v>0</v>
      </c>
      <c r="Q476" s="182">
        <f t="shared" si="1968"/>
        <v>0</v>
      </c>
      <c r="R476" s="182"/>
      <c r="S476" s="182">
        <f t="shared" si="1969"/>
        <v>0</v>
      </c>
      <c r="T476" s="182"/>
      <c r="U476" s="182">
        <f t="shared" si="1970"/>
        <v>0</v>
      </c>
      <c r="V476" s="182"/>
      <c r="W476" s="183">
        <f t="shared" si="1971"/>
        <v>0</v>
      </c>
      <c r="X476" s="183"/>
      <c r="Y476" s="183">
        <v>0</v>
      </c>
      <c r="Z476" s="183"/>
      <c r="AA476" s="183">
        <v>0</v>
      </c>
      <c r="AB476" s="182">
        <f t="shared" si="1972"/>
        <v>0</v>
      </c>
      <c r="AC476" s="182">
        <f t="shared" si="1972"/>
        <v>0</v>
      </c>
      <c r="AD476" s="182"/>
      <c r="AE476" s="182">
        <f t="shared" si="1973"/>
        <v>0</v>
      </c>
      <c r="AF476" s="182"/>
      <c r="AG476" s="182"/>
      <c r="AH476" s="182"/>
      <c r="AI476" s="182">
        <f t="shared" si="1974"/>
        <v>0</v>
      </c>
      <c r="AJ476" s="182"/>
      <c r="AK476" s="182"/>
      <c r="AL476" s="182"/>
      <c r="AM476" s="182"/>
      <c r="AN476" s="184"/>
      <c r="AO476" s="182">
        <f t="shared" si="1975"/>
        <v>0</v>
      </c>
      <c r="AP476" s="182"/>
      <c r="AQ476" s="183">
        <f t="shared" si="1976"/>
        <v>0</v>
      </c>
      <c r="AR476" s="182"/>
      <c r="AS476" s="182">
        <f t="shared" si="1977"/>
        <v>0</v>
      </c>
      <c r="AT476" s="182"/>
      <c r="AU476" s="182">
        <f t="shared" si="1978"/>
        <v>0</v>
      </c>
      <c r="AV476" s="188"/>
      <c r="AW476" s="182">
        <f t="shared" si="1979"/>
        <v>0</v>
      </c>
      <c r="AX476" s="182"/>
      <c r="AY476" s="187">
        <f t="shared" si="1980"/>
        <v>0</v>
      </c>
      <c r="AZ476" s="182"/>
      <c r="BA476" s="182">
        <f t="shared" si="1981"/>
        <v>0</v>
      </c>
      <c r="BB476" s="182"/>
      <c r="BC476" s="182">
        <f t="shared" si="1982"/>
        <v>0</v>
      </c>
      <c r="BD476" s="182"/>
      <c r="BE476" s="182">
        <f t="shared" si="1983"/>
        <v>0</v>
      </c>
      <c r="BF476" s="182"/>
      <c r="BG476" s="182">
        <f t="shared" si="1984"/>
        <v>0</v>
      </c>
      <c r="BH476" s="182"/>
      <c r="BI476" s="183">
        <f t="shared" si="1985"/>
        <v>0</v>
      </c>
      <c r="BJ476" s="182"/>
      <c r="BK476" s="183">
        <f t="shared" si="1986"/>
        <v>0</v>
      </c>
      <c r="BL476" s="182"/>
      <c r="BM476" s="182">
        <f t="shared" si="1987"/>
        <v>0</v>
      </c>
      <c r="BN476" s="182"/>
      <c r="BO476" s="182">
        <f t="shared" si="1988"/>
        <v>0</v>
      </c>
      <c r="BP476" s="182"/>
      <c r="BQ476" s="182">
        <f t="shared" si="1989"/>
        <v>0</v>
      </c>
      <c r="BR476" s="182"/>
      <c r="BS476" s="183">
        <f t="shared" si="1990"/>
        <v>0</v>
      </c>
      <c r="BT476" s="182"/>
      <c r="BU476" s="182">
        <f t="shared" si="1991"/>
        <v>0</v>
      </c>
      <c r="BV476" s="182"/>
      <c r="BW476" s="182">
        <f t="shared" si="1992"/>
        <v>0</v>
      </c>
      <c r="BX476" s="182"/>
      <c r="BY476" s="183">
        <f t="shared" si="1993"/>
        <v>0</v>
      </c>
      <c r="BZ476" s="182"/>
      <c r="CA476" s="187">
        <f t="shared" si="1994"/>
        <v>0</v>
      </c>
      <c r="CB476" s="182"/>
      <c r="CC476" s="182">
        <f t="shared" si="1995"/>
        <v>0</v>
      </c>
      <c r="CD476" s="182"/>
      <c r="CE476" s="182">
        <f t="shared" si="1996"/>
        <v>0</v>
      </c>
      <c r="CF476" s="182"/>
      <c r="CG476" s="182">
        <f t="shared" si="1997"/>
        <v>0</v>
      </c>
      <c r="CH476" s="182"/>
      <c r="CI476" s="182">
        <f t="shared" si="1998"/>
        <v>0</v>
      </c>
      <c r="CJ476" s="182"/>
      <c r="CK476" s="182"/>
      <c r="CL476" s="182"/>
      <c r="CM476" s="183">
        <f t="shared" si="1999"/>
        <v>0</v>
      </c>
      <c r="CN476" s="182"/>
      <c r="CO476" s="183">
        <f t="shared" si="2000"/>
        <v>0</v>
      </c>
      <c r="CP476" s="182"/>
      <c r="CQ476" s="182">
        <f t="shared" si="2001"/>
        <v>0</v>
      </c>
      <c r="CR476" s="182"/>
      <c r="CS476" s="182">
        <f t="shared" si="2002"/>
        <v>0</v>
      </c>
      <c r="CT476" s="182"/>
      <c r="CU476" s="182">
        <f t="shared" si="2003"/>
        <v>0</v>
      </c>
      <c r="CV476" s="182"/>
      <c r="CW476" s="182">
        <v>0</v>
      </c>
      <c r="CX476" s="182"/>
      <c r="CY476" s="182">
        <f t="shared" si="2004"/>
        <v>0</v>
      </c>
      <c r="CZ476" s="182"/>
      <c r="DA476" s="182">
        <v>0</v>
      </c>
      <c r="DB476" s="188"/>
      <c r="DC476" s="182">
        <f t="shared" si="2005"/>
        <v>0</v>
      </c>
      <c r="DD476" s="182"/>
      <c r="DE476" s="187"/>
      <c r="DF476" s="182"/>
      <c r="DG476" s="182">
        <f t="shared" si="2006"/>
        <v>0</v>
      </c>
      <c r="DH476" s="189"/>
      <c r="DI476" s="182">
        <f t="shared" si="2007"/>
        <v>0</v>
      </c>
      <c r="DJ476" s="182"/>
      <c r="DK476" s="182">
        <f t="shared" si="2008"/>
        <v>0</v>
      </c>
      <c r="DL476" s="182"/>
      <c r="DM476" s="182">
        <f t="shared" si="2009"/>
        <v>0</v>
      </c>
      <c r="DN476" s="182"/>
      <c r="DO476" s="190">
        <f t="shared" si="2010"/>
        <v>0</v>
      </c>
      <c r="DP476" s="187"/>
      <c r="DQ476" s="187"/>
      <c r="DR476" s="183">
        <f t="shared" si="1966"/>
        <v>0</v>
      </c>
      <c r="DS476" s="183">
        <f t="shared" si="1966"/>
        <v>0</v>
      </c>
      <c r="DT476" s="182">
        <v>0</v>
      </c>
      <c r="DU476" s="182">
        <v>0</v>
      </c>
      <c r="DV476" s="167">
        <f t="shared" si="2011"/>
        <v>0</v>
      </c>
      <c r="DW476" s="167">
        <f t="shared" si="2011"/>
        <v>0</v>
      </c>
    </row>
    <row r="477" spans="1:127" ht="45" customHeight="1" x14ac:dyDescent="0.25">
      <c r="A477" s="154"/>
      <c r="B477" s="176">
        <v>425</v>
      </c>
      <c r="C477" s="310" t="s">
        <v>1021</v>
      </c>
      <c r="D477" s="210" t="s">
        <v>1022</v>
      </c>
      <c r="E477" s="158">
        <v>25969</v>
      </c>
      <c r="F477" s="179">
        <v>1.08</v>
      </c>
      <c r="G477" s="168">
        <v>1</v>
      </c>
      <c r="H477" s="169"/>
      <c r="I477" s="169"/>
      <c r="J477" s="169"/>
      <c r="K477" s="106"/>
      <c r="L477" s="180">
        <v>1.4</v>
      </c>
      <c r="M477" s="180">
        <v>1.68</v>
      </c>
      <c r="N477" s="180">
        <v>2.23</v>
      </c>
      <c r="O477" s="181">
        <v>2.57</v>
      </c>
      <c r="P477" s="182">
        <v>0</v>
      </c>
      <c r="Q477" s="182">
        <f t="shared" si="1968"/>
        <v>0</v>
      </c>
      <c r="R477" s="182"/>
      <c r="S477" s="182">
        <f t="shared" si="1969"/>
        <v>0</v>
      </c>
      <c r="T477" s="182"/>
      <c r="U477" s="182">
        <f t="shared" si="1970"/>
        <v>0</v>
      </c>
      <c r="V477" s="182"/>
      <c r="W477" s="183">
        <f t="shared" si="1971"/>
        <v>0</v>
      </c>
      <c r="X477" s="183"/>
      <c r="Y477" s="183">
        <v>0</v>
      </c>
      <c r="Z477" s="183"/>
      <c r="AA477" s="183">
        <v>0</v>
      </c>
      <c r="AB477" s="182">
        <f t="shared" si="1972"/>
        <v>0</v>
      </c>
      <c r="AC477" s="182">
        <f t="shared" si="1972"/>
        <v>0</v>
      </c>
      <c r="AD477" s="182"/>
      <c r="AE477" s="182">
        <f t="shared" si="1973"/>
        <v>0</v>
      </c>
      <c r="AF477" s="182"/>
      <c r="AG477" s="182"/>
      <c r="AH477" s="182"/>
      <c r="AI477" s="182">
        <f t="shared" si="1974"/>
        <v>0</v>
      </c>
      <c r="AJ477" s="182"/>
      <c r="AK477" s="182"/>
      <c r="AL477" s="182"/>
      <c r="AM477" s="182"/>
      <c r="AN477" s="184"/>
      <c r="AO477" s="182">
        <f t="shared" si="1975"/>
        <v>0</v>
      </c>
      <c r="AP477" s="182"/>
      <c r="AQ477" s="183">
        <f t="shared" si="1976"/>
        <v>0</v>
      </c>
      <c r="AR477" s="182"/>
      <c r="AS477" s="182">
        <f t="shared" si="1977"/>
        <v>0</v>
      </c>
      <c r="AT477" s="182"/>
      <c r="AU477" s="182">
        <f t="shared" si="1978"/>
        <v>0</v>
      </c>
      <c r="AV477" s="188"/>
      <c r="AW477" s="182">
        <f t="shared" si="1979"/>
        <v>0</v>
      </c>
      <c r="AX477" s="182"/>
      <c r="AY477" s="187">
        <f t="shared" si="1980"/>
        <v>0</v>
      </c>
      <c r="AZ477" s="182"/>
      <c r="BA477" s="182">
        <f t="shared" si="1981"/>
        <v>0</v>
      </c>
      <c r="BB477" s="182"/>
      <c r="BC477" s="182">
        <f t="shared" si="1982"/>
        <v>0</v>
      </c>
      <c r="BD477" s="182">
        <v>100</v>
      </c>
      <c r="BE477" s="182">
        <f t="shared" si="1983"/>
        <v>3533861.52</v>
      </c>
      <c r="BF477" s="182"/>
      <c r="BG477" s="182">
        <f t="shared" si="1984"/>
        <v>0</v>
      </c>
      <c r="BH477" s="182"/>
      <c r="BI477" s="183">
        <f t="shared" si="1985"/>
        <v>0</v>
      </c>
      <c r="BJ477" s="182"/>
      <c r="BK477" s="183">
        <f t="shared" si="1986"/>
        <v>0</v>
      </c>
      <c r="BL477" s="182"/>
      <c r="BM477" s="182">
        <f t="shared" si="1987"/>
        <v>0</v>
      </c>
      <c r="BN477" s="182"/>
      <c r="BO477" s="182">
        <f t="shared" si="1988"/>
        <v>0</v>
      </c>
      <c r="BP477" s="182"/>
      <c r="BQ477" s="182">
        <f t="shared" si="1989"/>
        <v>0</v>
      </c>
      <c r="BR477" s="182"/>
      <c r="BS477" s="183">
        <f t="shared" si="1990"/>
        <v>0</v>
      </c>
      <c r="BT477" s="182"/>
      <c r="BU477" s="182">
        <f t="shared" si="1991"/>
        <v>0</v>
      </c>
      <c r="BV477" s="182"/>
      <c r="BW477" s="182">
        <f t="shared" si="1992"/>
        <v>0</v>
      </c>
      <c r="BX477" s="182"/>
      <c r="BY477" s="183">
        <f t="shared" si="1993"/>
        <v>0</v>
      </c>
      <c r="BZ477" s="182"/>
      <c r="CA477" s="187">
        <f t="shared" si="1994"/>
        <v>0</v>
      </c>
      <c r="CB477" s="182"/>
      <c r="CC477" s="182">
        <f t="shared" si="1995"/>
        <v>0</v>
      </c>
      <c r="CD477" s="182"/>
      <c r="CE477" s="182">
        <f t="shared" si="1996"/>
        <v>0</v>
      </c>
      <c r="CF477" s="182"/>
      <c r="CG477" s="182">
        <f t="shared" si="1997"/>
        <v>0</v>
      </c>
      <c r="CH477" s="182"/>
      <c r="CI477" s="182">
        <f t="shared" si="1998"/>
        <v>0</v>
      </c>
      <c r="CJ477" s="182"/>
      <c r="CK477" s="182"/>
      <c r="CL477" s="182"/>
      <c r="CM477" s="183">
        <f t="shared" si="1999"/>
        <v>0</v>
      </c>
      <c r="CN477" s="182"/>
      <c r="CO477" s="183">
        <f t="shared" si="2000"/>
        <v>0</v>
      </c>
      <c r="CP477" s="182"/>
      <c r="CQ477" s="182">
        <f t="shared" si="2001"/>
        <v>0</v>
      </c>
      <c r="CR477" s="182"/>
      <c r="CS477" s="182">
        <f t="shared" si="2002"/>
        <v>0</v>
      </c>
      <c r="CT477" s="182"/>
      <c r="CU477" s="182">
        <f t="shared" si="2003"/>
        <v>0</v>
      </c>
      <c r="CV477" s="182"/>
      <c r="CW477" s="182">
        <v>0</v>
      </c>
      <c r="CX477" s="182"/>
      <c r="CY477" s="182">
        <f t="shared" si="2004"/>
        <v>0</v>
      </c>
      <c r="CZ477" s="182"/>
      <c r="DA477" s="182">
        <v>0</v>
      </c>
      <c r="DB477" s="188"/>
      <c r="DC477" s="182">
        <f t="shared" si="2005"/>
        <v>0</v>
      </c>
      <c r="DD477" s="182"/>
      <c r="DE477" s="187"/>
      <c r="DF477" s="182"/>
      <c r="DG477" s="182">
        <f t="shared" si="2006"/>
        <v>0</v>
      </c>
      <c r="DH477" s="189"/>
      <c r="DI477" s="182">
        <f t="shared" si="2007"/>
        <v>0</v>
      </c>
      <c r="DJ477" s="182"/>
      <c r="DK477" s="182">
        <f t="shared" si="2008"/>
        <v>0</v>
      </c>
      <c r="DL477" s="182"/>
      <c r="DM477" s="182">
        <f t="shared" si="2009"/>
        <v>0</v>
      </c>
      <c r="DN477" s="182"/>
      <c r="DO477" s="190">
        <f t="shared" si="2010"/>
        <v>0</v>
      </c>
      <c r="DP477" s="187"/>
      <c r="DQ477" s="187"/>
      <c r="DR477" s="183">
        <f t="shared" si="1966"/>
        <v>100</v>
      </c>
      <c r="DS477" s="183">
        <f t="shared" si="1966"/>
        <v>3533861.52</v>
      </c>
      <c r="DT477" s="182">
        <v>100</v>
      </c>
      <c r="DU477" s="182">
        <v>3533861.52</v>
      </c>
      <c r="DV477" s="167">
        <f t="shared" si="2011"/>
        <v>0</v>
      </c>
      <c r="DW477" s="167">
        <f t="shared" si="2011"/>
        <v>0</v>
      </c>
    </row>
    <row r="478" spans="1:127" ht="45" customHeight="1" x14ac:dyDescent="0.25">
      <c r="A478" s="154"/>
      <c r="B478" s="176">
        <v>426</v>
      </c>
      <c r="C478" s="310" t="s">
        <v>1023</v>
      </c>
      <c r="D478" s="210" t="s">
        <v>1024</v>
      </c>
      <c r="E478" s="158">
        <v>25969</v>
      </c>
      <c r="F478" s="179">
        <v>1.61</v>
      </c>
      <c r="G478" s="168">
        <v>1</v>
      </c>
      <c r="H478" s="169"/>
      <c r="I478" s="169"/>
      <c r="J478" s="169"/>
      <c r="K478" s="106"/>
      <c r="L478" s="180">
        <v>1.4</v>
      </c>
      <c r="M478" s="180">
        <v>1.68</v>
      </c>
      <c r="N478" s="180">
        <v>2.23</v>
      </c>
      <c r="O478" s="181">
        <v>2.57</v>
      </c>
      <c r="P478" s="182">
        <v>0</v>
      </c>
      <c r="Q478" s="182">
        <f t="shared" si="1968"/>
        <v>0</v>
      </c>
      <c r="R478" s="182"/>
      <c r="S478" s="182">
        <f t="shared" si="1969"/>
        <v>0</v>
      </c>
      <c r="T478" s="182"/>
      <c r="U478" s="182">
        <f t="shared" si="1970"/>
        <v>0</v>
      </c>
      <c r="V478" s="182"/>
      <c r="W478" s="183">
        <f t="shared" si="1971"/>
        <v>0</v>
      </c>
      <c r="X478" s="183"/>
      <c r="Y478" s="183">
        <v>0</v>
      </c>
      <c r="Z478" s="183"/>
      <c r="AA478" s="183">
        <v>0</v>
      </c>
      <c r="AB478" s="182">
        <f t="shared" si="1972"/>
        <v>0</v>
      </c>
      <c r="AC478" s="182">
        <f t="shared" si="1972"/>
        <v>0</v>
      </c>
      <c r="AD478" s="182"/>
      <c r="AE478" s="182">
        <f t="shared" si="1973"/>
        <v>0</v>
      </c>
      <c r="AF478" s="182"/>
      <c r="AG478" s="182"/>
      <c r="AH478" s="182"/>
      <c r="AI478" s="182">
        <f t="shared" si="1974"/>
        <v>0</v>
      </c>
      <c r="AJ478" s="182"/>
      <c r="AK478" s="182"/>
      <c r="AL478" s="182"/>
      <c r="AM478" s="182"/>
      <c r="AN478" s="184"/>
      <c r="AO478" s="182">
        <f t="shared" si="1975"/>
        <v>0</v>
      </c>
      <c r="AP478" s="182"/>
      <c r="AQ478" s="183">
        <f t="shared" si="1976"/>
        <v>0</v>
      </c>
      <c r="AR478" s="182"/>
      <c r="AS478" s="182">
        <f t="shared" si="1977"/>
        <v>0</v>
      </c>
      <c r="AT478" s="182"/>
      <c r="AU478" s="182">
        <f t="shared" si="1978"/>
        <v>0</v>
      </c>
      <c r="AV478" s="188"/>
      <c r="AW478" s="182">
        <f t="shared" si="1979"/>
        <v>0</v>
      </c>
      <c r="AX478" s="182"/>
      <c r="AY478" s="187">
        <f t="shared" si="1980"/>
        <v>0</v>
      </c>
      <c r="AZ478" s="182"/>
      <c r="BA478" s="182">
        <f t="shared" si="1981"/>
        <v>0</v>
      </c>
      <c r="BB478" s="182"/>
      <c r="BC478" s="182">
        <f t="shared" si="1982"/>
        <v>0</v>
      </c>
      <c r="BD478" s="182">
        <v>50</v>
      </c>
      <c r="BE478" s="182">
        <f t="shared" si="1983"/>
        <v>2634035.6700000004</v>
      </c>
      <c r="BF478" s="182"/>
      <c r="BG478" s="182">
        <f t="shared" si="1984"/>
        <v>0</v>
      </c>
      <c r="BH478" s="182"/>
      <c r="BI478" s="183">
        <f t="shared" si="1985"/>
        <v>0</v>
      </c>
      <c r="BJ478" s="182"/>
      <c r="BK478" s="183">
        <f t="shared" si="1986"/>
        <v>0</v>
      </c>
      <c r="BL478" s="182"/>
      <c r="BM478" s="182">
        <f t="shared" si="1987"/>
        <v>0</v>
      </c>
      <c r="BN478" s="182"/>
      <c r="BO478" s="182">
        <f t="shared" si="1988"/>
        <v>0</v>
      </c>
      <c r="BP478" s="182"/>
      <c r="BQ478" s="182">
        <f t="shared" si="1989"/>
        <v>0</v>
      </c>
      <c r="BR478" s="182"/>
      <c r="BS478" s="183">
        <f t="shared" si="1990"/>
        <v>0</v>
      </c>
      <c r="BT478" s="182"/>
      <c r="BU478" s="182">
        <f t="shared" si="1991"/>
        <v>0</v>
      </c>
      <c r="BV478" s="182"/>
      <c r="BW478" s="182">
        <f t="shared" si="1992"/>
        <v>0</v>
      </c>
      <c r="BX478" s="182"/>
      <c r="BY478" s="183">
        <f t="shared" si="1993"/>
        <v>0</v>
      </c>
      <c r="BZ478" s="182"/>
      <c r="CA478" s="187">
        <f t="shared" si="1994"/>
        <v>0</v>
      </c>
      <c r="CB478" s="182"/>
      <c r="CC478" s="182">
        <f t="shared" si="1995"/>
        <v>0</v>
      </c>
      <c r="CD478" s="182"/>
      <c r="CE478" s="182">
        <f t="shared" si="1996"/>
        <v>0</v>
      </c>
      <c r="CF478" s="182"/>
      <c r="CG478" s="182">
        <f t="shared" si="1997"/>
        <v>0</v>
      </c>
      <c r="CH478" s="182"/>
      <c r="CI478" s="182">
        <f t="shared" si="1998"/>
        <v>0</v>
      </c>
      <c r="CJ478" s="182"/>
      <c r="CK478" s="182"/>
      <c r="CL478" s="182"/>
      <c r="CM478" s="183">
        <f t="shared" si="1999"/>
        <v>0</v>
      </c>
      <c r="CN478" s="182"/>
      <c r="CO478" s="183">
        <f t="shared" si="2000"/>
        <v>0</v>
      </c>
      <c r="CP478" s="182"/>
      <c r="CQ478" s="182">
        <f t="shared" si="2001"/>
        <v>0</v>
      </c>
      <c r="CR478" s="182"/>
      <c r="CS478" s="182">
        <f t="shared" si="2002"/>
        <v>0</v>
      </c>
      <c r="CT478" s="182"/>
      <c r="CU478" s="182">
        <f t="shared" si="2003"/>
        <v>0</v>
      </c>
      <c r="CV478" s="182"/>
      <c r="CW478" s="182">
        <v>0</v>
      </c>
      <c r="CX478" s="182"/>
      <c r="CY478" s="182">
        <f t="shared" si="2004"/>
        <v>0</v>
      </c>
      <c r="CZ478" s="182"/>
      <c r="DA478" s="182">
        <v>0</v>
      </c>
      <c r="DB478" s="188"/>
      <c r="DC478" s="182">
        <f t="shared" si="2005"/>
        <v>0</v>
      </c>
      <c r="DD478" s="182"/>
      <c r="DE478" s="187"/>
      <c r="DF478" s="182"/>
      <c r="DG478" s="182">
        <f t="shared" si="2006"/>
        <v>0</v>
      </c>
      <c r="DH478" s="189"/>
      <c r="DI478" s="182">
        <f t="shared" si="2007"/>
        <v>0</v>
      </c>
      <c r="DJ478" s="182"/>
      <c r="DK478" s="182">
        <f t="shared" si="2008"/>
        <v>0</v>
      </c>
      <c r="DL478" s="182"/>
      <c r="DM478" s="182">
        <f t="shared" si="2009"/>
        <v>0</v>
      </c>
      <c r="DN478" s="182"/>
      <c r="DO478" s="190">
        <f t="shared" si="2010"/>
        <v>0</v>
      </c>
      <c r="DP478" s="187"/>
      <c r="DQ478" s="187"/>
      <c r="DR478" s="183">
        <f t="shared" si="1966"/>
        <v>50</v>
      </c>
      <c r="DS478" s="183">
        <f t="shared" si="1966"/>
        <v>2634035.6700000004</v>
      </c>
      <c r="DT478" s="182">
        <v>50</v>
      </c>
      <c r="DU478" s="182">
        <v>2634035.6700000004</v>
      </c>
      <c r="DV478" s="167">
        <f t="shared" si="2011"/>
        <v>0</v>
      </c>
      <c r="DW478" s="167">
        <f t="shared" si="2011"/>
        <v>0</v>
      </c>
    </row>
    <row r="479" spans="1:127" ht="45" customHeight="1" x14ac:dyDescent="0.25">
      <c r="A479" s="154"/>
      <c r="B479" s="176">
        <v>427</v>
      </c>
      <c r="C479" s="310" t="s">
        <v>1025</v>
      </c>
      <c r="D479" s="210" t="s">
        <v>1026</v>
      </c>
      <c r="E479" s="158">
        <v>25969</v>
      </c>
      <c r="F479" s="179">
        <v>2.15</v>
      </c>
      <c r="G479" s="168">
        <v>1</v>
      </c>
      <c r="H479" s="169"/>
      <c r="I479" s="169"/>
      <c r="J479" s="169"/>
      <c r="K479" s="106"/>
      <c r="L479" s="180">
        <v>1.4</v>
      </c>
      <c r="M479" s="180">
        <v>1.68</v>
      </c>
      <c r="N479" s="180">
        <v>2.23</v>
      </c>
      <c r="O479" s="181">
        <v>2.57</v>
      </c>
      <c r="P479" s="182">
        <v>0</v>
      </c>
      <c r="Q479" s="182">
        <f t="shared" si="1968"/>
        <v>0</v>
      </c>
      <c r="R479" s="182"/>
      <c r="S479" s="182">
        <f t="shared" si="1969"/>
        <v>0</v>
      </c>
      <c r="T479" s="182"/>
      <c r="U479" s="182">
        <f t="shared" si="1970"/>
        <v>0</v>
      </c>
      <c r="V479" s="182"/>
      <c r="W479" s="183">
        <f t="shared" si="1971"/>
        <v>0</v>
      </c>
      <c r="X479" s="183"/>
      <c r="Y479" s="183">
        <v>0</v>
      </c>
      <c r="Z479" s="183"/>
      <c r="AA479" s="183">
        <v>0</v>
      </c>
      <c r="AB479" s="182">
        <f t="shared" si="1972"/>
        <v>0</v>
      </c>
      <c r="AC479" s="182">
        <f t="shared" si="1972"/>
        <v>0</v>
      </c>
      <c r="AD479" s="182"/>
      <c r="AE479" s="182">
        <f t="shared" si="1973"/>
        <v>0</v>
      </c>
      <c r="AF479" s="182"/>
      <c r="AG479" s="182"/>
      <c r="AH479" s="182"/>
      <c r="AI479" s="182">
        <f t="shared" si="1974"/>
        <v>0</v>
      </c>
      <c r="AJ479" s="182"/>
      <c r="AK479" s="182"/>
      <c r="AL479" s="182"/>
      <c r="AM479" s="182"/>
      <c r="AN479" s="184"/>
      <c r="AO479" s="182">
        <f t="shared" si="1975"/>
        <v>0</v>
      </c>
      <c r="AP479" s="182"/>
      <c r="AQ479" s="183">
        <f t="shared" si="1976"/>
        <v>0</v>
      </c>
      <c r="AR479" s="182"/>
      <c r="AS479" s="182">
        <f t="shared" si="1977"/>
        <v>0</v>
      </c>
      <c r="AT479" s="182"/>
      <c r="AU479" s="182">
        <f t="shared" si="1978"/>
        <v>0</v>
      </c>
      <c r="AV479" s="188"/>
      <c r="AW479" s="182">
        <f t="shared" si="1979"/>
        <v>0</v>
      </c>
      <c r="AX479" s="182"/>
      <c r="AY479" s="187">
        <f t="shared" si="1980"/>
        <v>0</v>
      </c>
      <c r="AZ479" s="182"/>
      <c r="BA479" s="182">
        <f t="shared" si="1981"/>
        <v>0</v>
      </c>
      <c r="BB479" s="182"/>
      <c r="BC479" s="182">
        <f t="shared" si="1982"/>
        <v>0</v>
      </c>
      <c r="BD479" s="182"/>
      <c r="BE479" s="182">
        <f t="shared" si="1983"/>
        <v>0</v>
      </c>
      <c r="BF479" s="182"/>
      <c r="BG479" s="182">
        <f t="shared" si="1984"/>
        <v>0</v>
      </c>
      <c r="BH479" s="182"/>
      <c r="BI479" s="183">
        <f t="shared" si="1985"/>
        <v>0</v>
      </c>
      <c r="BJ479" s="182"/>
      <c r="BK479" s="183">
        <f t="shared" si="1986"/>
        <v>0</v>
      </c>
      <c r="BL479" s="182"/>
      <c r="BM479" s="182">
        <f t="shared" si="1987"/>
        <v>0</v>
      </c>
      <c r="BN479" s="182"/>
      <c r="BO479" s="182">
        <f t="shared" si="1988"/>
        <v>0</v>
      </c>
      <c r="BP479" s="182"/>
      <c r="BQ479" s="182">
        <f t="shared" si="1989"/>
        <v>0</v>
      </c>
      <c r="BR479" s="182"/>
      <c r="BS479" s="183">
        <f t="shared" si="1990"/>
        <v>0</v>
      </c>
      <c r="BT479" s="182"/>
      <c r="BU479" s="182">
        <f t="shared" si="1991"/>
        <v>0</v>
      </c>
      <c r="BV479" s="182"/>
      <c r="BW479" s="182">
        <f t="shared" si="1992"/>
        <v>0</v>
      </c>
      <c r="BX479" s="182"/>
      <c r="BY479" s="183">
        <f t="shared" si="1993"/>
        <v>0</v>
      </c>
      <c r="BZ479" s="182"/>
      <c r="CA479" s="187">
        <f t="shared" si="1994"/>
        <v>0</v>
      </c>
      <c r="CB479" s="182"/>
      <c r="CC479" s="182">
        <f t="shared" si="1995"/>
        <v>0</v>
      </c>
      <c r="CD479" s="182"/>
      <c r="CE479" s="182">
        <f t="shared" si="1996"/>
        <v>0</v>
      </c>
      <c r="CF479" s="182"/>
      <c r="CG479" s="182">
        <f t="shared" si="1997"/>
        <v>0</v>
      </c>
      <c r="CH479" s="182"/>
      <c r="CI479" s="182">
        <f t="shared" si="1998"/>
        <v>0</v>
      </c>
      <c r="CJ479" s="182"/>
      <c r="CK479" s="182"/>
      <c r="CL479" s="182"/>
      <c r="CM479" s="183">
        <f t="shared" si="1999"/>
        <v>0</v>
      </c>
      <c r="CN479" s="182"/>
      <c r="CO479" s="183">
        <f t="shared" si="2000"/>
        <v>0</v>
      </c>
      <c r="CP479" s="182"/>
      <c r="CQ479" s="182">
        <f t="shared" si="2001"/>
        <v>0</v>
      </c>
      <c r="CR479" s="182"/>
      <c r="CS479" s="182">
        <f t="shared" si="2002"/>
        <v>0</v>
      </c>
      <c r="CT479" s="182"/>
      <c r="CU479" s="182">
        <f t="shared" si="2003"/>
        <v>0</v>
      </c>
      <c r="CV479" s="182"/>
      <c r="CW479" s="182">
        <v>0</v>
      </c>
      <c r="CX479" s="182"/>
      <c r="CY479" s="182">
        <f t="shared" si="2004"/>
        <v>0</v>
      </c>
      <c r="CZ479" s="182"/>
      <c r="DA479" s="182">
        <v>0</v>
      </c>
      <c r="DB479" s="188"/>
      <c r="DC479" s="182">
        <f t="shared" si="2005"/>
        <v>0</v>
      </c>
      <c r="DD479" s="182"/>
      <c r="DE479" s="187"/>
      <c r="DF479" s="182"/>
      <c r="DG479" s="182">
        <f t="shared" si="2006"/>
        <v>0</v>
      </c>
      <c r="DH479" s="189"/>
      <c r="DI479" s="182">
        <f t="shared" si="2007"/>
        <v>0</v>
      </c>
      <c r="DJ479" s="182"/>
      <c r="DK479" s="182">
        <f t="shared" si="2008"/>
        <v>0</v>
      </c>
      <c r="DL479" s="182"/>
      <c r="DM479" s="182">
        <f t="shared" si="2009"/>
        <v>0</v>
      </c>
      <c r="DN479" s="182"/>
      <c r="DO479" s="190">
        <f t="shared" si="2010"/>
        <v>0</v>
      </c>
      <c r="DP479" s="187"/>
      <c r="DQ479" s="187"/>
      <c r="DR479" s="183">
        <f t="shared" si="1966"/>
        <v>0</v>
      </c>
      <c r="DS479" s="183">
        <f t="shared" si="1966"/>
        <v>0</v>
      </c>
      <c r="DT479" s="182">
        <v>0</v>
      </c>
      <c r="DU479" s="182">
        <v>0</v>
      </c>
      <c r="DV479" s="167">
        <f t="shared" si="2011"/>
        <v>0</v>
      </c>
      <c r="DW479" s="167">
        <f t="shared" si="2011"/>
        <v>0</v>
      </c>
    </row>
    <row r="480" spans="1:127" ht="45" customHeight="1" x14ac:dyDescent="0.25">
      <c r="A480" s="154"/>
      <c r="B480" s="176">
        <v>428</v>
      </c>
      <c r="C480" s="310" t="s">
        <v>1027</v>
      </c>
      <c r="D480" s="210" t="s">
        <v>1028</v>
      </c>
      <c r="E480" s="158">
        <v>25969</v>
      </c>
      <c r="F480" s="179">
        <v>7.29</v>
      </c>
      <c r="G480" s="168">
        <v>1</v>
      </c>
      <c r="H480" s="169"/>
      <c r="I480" s="169"/>
      <c r="J480" s="169"/>
      <c r="K480" s="106"/>
      <c r="L480" s="180">
        <v>1.4</v>
      </c>
      <c r="M480" s="180">
        <v>1.68</v>
      </c>
      <c r="N480" s="180">
        <v>2.23</v>
      </c>
      <c r="O480" s="181">
        <v>2.57</v>
      </c>
      <c r="P480" s="182">
        <v>1</v>
      </c>
      <c r="Q480" s="182">
        <f t="shared" ref="Q480:Q482" si="2012">(P480*$E480*$F480*$G480*$L480)</f>
        <v>265039.614</v>
      </c>
      <c r="R480" s="182"/>
      <c r="S480" s="187">
        <f t="shared" ref="S480:S482" si="2013">(R480*$E480*$F480*$G480*$L480)</f>
        <v>0</v>
      </c>
      <c r="T480" s="182"/>
      <c r="U480" s="182">
        <f t="shared" ref="U480:U482" si="2014">(T480*$E480*$F480*$G480*$L480)</f>
        <v>0</v>
      </c>
      <c r="V480" s="182"/>
      <c r="W480" s="182">
        <f t="shared" ref="W480:W482" si="2015">(V480*$E480*$F480*$G480*$L480)</f>
        <v>0</v>
      </c>
      <c r="X480" s="182"/>
      <c r="Y480" s="182">
        <v>0</v>
      </c>
      <c r="Z480" s="182"/>
      <c r="AA480" s="182">
        <v>0</v>
      </c>
      <c r="AB480" s="182">
        <f t="shared" si="1972"/>
        <v>0</v>
      </c>
      <c r="AC480" s="182">
        <f t="shared" si="1972"/>
        <v>0</v>
      </c>
      <c r="AD480" s="182"/>
      <c r="AE480" s="182">
        <f t="shared" ref="AE480:AE482" si="2016">(AD480*$E480*$F480*$G480*$L480)</f>
        <v>0</v>
      </c>
      <c r="AF480" s="182"/>
      <c r="AG480" s="182"/>
      <c r="AH480" s="182"/>
      <c r="AI480" s="182">
        <f t="shared" ref="AI480:AI482" si="2017">(AH480*$E480*$F480*$G480*$L480)</f>
        <v>0</v>
      </c>
      <c r="AJ480" s="182"/>
      <c r="AK480" s="182"/>
      <c r="AL480" s="182"/>
      <c r="AM480" s="182"/>
      <c r="AN480" s="184"/>
      <c r="AO480" s="182">
        <f t="shared" ref="AO480:AO482" si="2018">(AN480*$E480*$F480*$G480*$L480)</f>
        <v>0</v>
      </c>
      <c r="AP480" s="182"/>
      <c r="AQ480" s="182">
        <f t="shared" ref="AQ480:AQ482" si="2019">(AP480*$E480*$F480*$G480*$L480)</f>
        <v>0</v>
      </c>
      <c r="AR480" s="182"/>
      <c r="AS480" s="182">
        <f t="shared" ref="AS480:AS482" si="2020">(AR480*$E480*$F480*$G480*$L480)</f>
        <v>0</v>
      </c>
      <c r="AT480" s="182"/>
      <c r="AU480" s="183">
        <f t="shared" ref="AU480:AU482" si="2021">(AT480*$E480*$F480*$G480*$M480)</f>
        <v>0</v>
      </c>
      <c r="AV480" s="188"/>
      <c r="AW480" s="182">
        <f t="shared" ref="AW480:AW482" si="2022">(AV480*$E480*$F480*$G480*$M480)</f>
        <v>0</v>
      </c>
      <c r="AX480" s="182"/>
      <c r="AY480" s="187">
        <f t="shared" ref="AY480:AY482" si="2023">(AX480*$E480*$F480*$G480*$M480)</f>
        <v>0</v>
      </c>
      <c r="AZ480" s="182"/>
      <c r="BA480" s="182"/>
      <c r="BB480" s="182"/>
      <c r="BC480" s="182">
        <f t="shared" ref="BC480:BC482" si="2024">(BB480*$E480*$F480*$G480*$L480*BC$12)</f>
        <v>0</v>
      </c>
      <c r="BD480" s="182"/>
      <c r="BE480" s="182">
        <f>(BD480*$E480*$F480*$G480*$L480*BE$12)</f>
        <v>0</v>
      </c>
      <c r="BF480" s="182"/>
      <c r="BG480" s="182">
        <f t="shared" ref="BG480:BG482" si="2025">(BF480*$E480*$F480*$G480*$L480)</f>
        <v>0</v>
      </c>
      <c r="BH480" s="182"/>
      <c r="BI480" s="182">
        <f t="shared" ref="BI480:BI482" si="2026">(BH480*$E480*$F480*$G480*$L480)</f>
        <v>0</v>
      </c>
      <c r="BJ480" s="182"/>
      <c r="BK480" s="182"/>
      <c r="BL480" s="182"/>
      <c r="BM480" s="182">
        <f t="shared" ref="BM480:BM482" si="2027">(BL480*$E480*$F480*$G480*$L480)</f>
        <v>0</v>
      </c>
      <c r="BN480" s="182"/>
      <c r="BO480" s="182">
        <f t="shared" ref="BO480:BO482" si="2028">(BN480*$E480*$F480*$G480*$M480)</f>
        <v>0</v>
      </c>
      <c r="BP480" s="182"/>
      <c r="BQ480" s="182">
        <f t="shared" ref="BQ480:BQ482" si="2029">(BP480*$E480*$F480*$G480*$M480)</f>
        <v>0</v>
      </c>
      <c r="BR480" s="182"/>
      <c r="BS480" s="182">
        <f t="shared" ref="BS480:BS482" si="2030">(BR480*$E480*$F480*$G480*$M480)</f>
        <v>0</v>
      </c>
      <c r="BT480" s="182"/>
      <c r="BU480" s="182">
        <f t="shared" ref="BU480:BU482" si="2031">(BT480*$E480*$F480*$G480*$M480)</f>
        <v>0</v>
      </c>
      <c r="BV480" s="182"/>
      <c r="BW480" s="182">
        <f t="shared" ref="BW480:BW482" si="2032">(BV480*$E480*$F480*$G480*$M480)</f>
        <v>0</v>
      </c>
      <c r="BX480" s="182"/>
      <c r="BY480" s="182">
        <f t="shared" ref="BY480:BY482" si="2033">(BX480*$E480*$F480*$G480*$M480)</f>
        <v>0</v>
      </c>
      <c r="BZ480" s="182"/>
      <c r="CA480" s="187">
        <f t="shared" ref="CA480:CA482" si="2034">(BZ480*$E480*$F480*$G480*$M480)</f>
        <v>0</v>
      </c>
      <c r="CB480" s="182"/>
      <c r="CC480" s="182">
        <f t="shared" ref="CC480:CC482" si="2035">(CB480*$E480*$F480*$G480*$L480)</f>
        <v>0</v>
      </c>
      <c r="CD480" s="182"/>
      <c r="CE480" s="183">
        <f t="shared" ref="CE480:CE482" si="2036">(CD480*$E480*$F480*$G480*$L480)</f>
        <v>0</v>
      </c>
      <c r="CF480" s="182"/>
      <c r="CG480" s="182">
        <f t="shared" ref="CG480:CG482" si="2037">(CF480*$E480*$F480*$G480*$L480)</f>
        <v>0</v>
      </c>
      <c r="CH480" s="182"/>
      <c r="CI480" s="182">
        <f t="shared" ref="CI480:CI482" si="2038">(CH480*$E480*$F480*$G480*$M480)</f>
        <v>0</v>
      </c>
      <c r="CJ480" s="182"/>
      <c r="CK480" s="182"/>
      <c r="CL480" s="182"/>
      <c r="CM480" s="182">
        <f t="shared" ref="CM480:CM482" si="2039">(CL480*$E480*$F480*$G480*$L480)</f>
        <v>0</v>
      </c>
      <c r="CN480" s="182"/>
      <c r="CO480" s="182">
        <f t="shared" ref="CO480:CO482" si="2040">(CN480*$E480*$F480*$G480*$L480)</f>
        <v>0</v>
      </c>
      <c r="CP480" s="182"/>
      <c r="CQ480" s="182">
        <f t="shared" ref="CQ480:CQ482" si="2041">(CP480*$E480*$F480*$G480*$L480)</f>
        <v>0</v>
      </c>
      <c r="CR480" s="182"/>
      <c r="CS480" s="182">
        <f t="shared" ref="CS480:CS482" si="2042">(CR480*$E480*$F480*$G480*$L480)</f>
        <v>0</v>
      </c>
      <c r="CT480" s="182"/>
      <c r="CU480" s="182">
        <f t="shared" ref="CU480:CU482" si="2043">(CT480*$E480*$F480*$G480*$L480)</f>
        <v>0</v>
      </c>
      <c r="CV480" s="182"/>
      <c r="CW480" s="182">
        <v>0</v>
      </c>
      <c r="CX480" s="182"/>
      <c r="CY480" s="182">
        <f t="shared" ref="CY480:CY482" si="2044">(CX480*$E480*$F480*$G480*$M480)</f>
        <v>0</v>
      </c>
      <c r="CZ480" s="182"/>
      <c r="DA480" s="182">
        <v>0</v>
      </c>
      <c r="DB480" s="188"/>
      <c r="DC480" s="182">
        <f t="shared" ref="DC480:DC482" si="2045">(DB480*$E480*$F480*$G480*$M480)</f>
        <v>0</v>
      </c>
      <c r="DD480" s="182"/>
      <c r="DE480" s="187">
        <f t="shared" ref="DE480:DE482" si="2046">(DD480*$E480*$F480*$G480*$M480)</f>
        <v>0</v>
      </c>
      <c r="DF480" s="182"/>
      <c r="DG480" s="182"/>
      <c r="DH480" s="189"/>
      <c r="DI480" s="182">
        <f t="shared" ref="DI480:DI482" si="2047">(DH480*$E480*$F480*$G480*$M480)</f>
        <v>0</v>
      </c>
      <c r="DJ480" s="182"/>
      <c r="DK480" s="182">
        <f t="shared" ref="DK480:DK482" si="2048">(DJ480*$E480*$F480*$G480*$M480)</f>
        <v>0</v>
      </c>
      <c r="DL480" s="182"/>
      <c r="DM480" s="182">
        <f t="shared" ref="DM480:DM482" si="2049">(DL480*$E480*$F480*$G480*$N480)</f>
        <v>0</v>
      </c>
      <c r="DN480" s="182"/>
      <c r="DO480" s="187">
        <f t="shared" ref="DO480:DO482" si="2050">(DN480*$E480*$F480*$G480*$O480)</f>
        <v>0</v>
      </c>
      <c r="DP480" s="187"/>
      <c r="DQ480" s="187"/>
      <c r="DR480" s="183">
        <f t="shared" si="1966"/>
        <v>1</v>
      </c>
      <c r="DS480" s="183">
        <f t="shared" si="1966"/>
        <v>265039.614</v>
      </c>
      <c r="DT480" s="182">
        <v>1</v>
      </c>
      <c r="DU480" s="182">
        <v>265039.614</v>
      </c>
      <c r="DV480" s="167">
        <f t="shared" si="2011"/>
        <v>0</v>
      </c>
      <c r="DW480" s="167">
        <f t="shared" si="2011"/>
        <v>0</v>
      </c>
    </row>
    <row r="481" spans="1:127" ht="45" customHeight="1" x14ac:dyDescent="0.25">
      <c r="A481" s="154"/>
      <c r="B481" s="176">
        <v>429</v>
      </c>
      <c r="C481" s="310" t="s">
        <v>1029</v>
      </c>
      <c r="D481" s="210" t="s">
        <v>1030</v>
      </c>
      <c r="E481" s="158">
        <v>25969</v>
      </c>
      <c r="F481" s="179">
        <v>6.54</v>
      </c>
      <c r="G481" s="168">
        <v>1</v>
      </c>
      <c r="H481" s="169"/>
      <c r="I481" s="169"/>
      <c r="J481" s="169"/>
      <c r="K481" s="106"/>
      <c r="L481" s="180">
        <v>1.4</v>
      </c>
      <c r="M481" s="180">
        <v>1.68</v>
      </c>
      <c r="N481" s="180">
        <v>2.23</v>
      </c>
      <c r="O481" s="181">
        <v>2.57</v>
      </c>
      <c r="P481" s="182">
        <v>1</v>
      </c>
      <c r="Q481" s="182">
        <f t="shared" si="2012"/>
        <v>237772.16399999999</v>
      </c>
      <c r="R481" s="182"/>
      <c r="S481" s="187">
        <f t="shared" si="2013"/>
        <v>0</v>
      </c>
      <c r="T481" s="182"/>
      <c r="U481" s="182">
        <f t="shared" si="2014"/>
        <v>0</v>
      </c>
      <c r="V481" s="182"/>
      <c r="W481" s="182">
        <f t="shared" si="2015"/>
        <v>0</v>
      </c>
      <c r="X481" s="182"/>
      <c r="Y481" s="182">
        <v>0</v>
      </c>
      <c r="Z481" s="182"/>
      <c r="AA481" s="182">
        <v>0</v>
      </c>
      <c r="AB481" s="182">
        <f t="shared" si="1972"/>
        <v>0</v>
      </c>
      <c r="AC481" s="182">
        <f t="shared" si="1972"/>
        <v>0</v>
      </c>
      <c r="AD481" s="182"/>
      <c r="AE481" s="182">
        <f t="shared" si="2016"/>
        <v>0</v>
      </c>
      <c r="AF481" s="182"/>
      <c r="AG481" s="182"/>
      <c r="AH481" s="182"/>
      <c r="AI481" s="182">
        <f t="shared" si="2017"/>
        <v>0</v>
      </c>
      <c r="AJ481" s="182"/>
      <c r="AK481" s="182"/>
      <c r="AL481" s="182"/>
      <c r="AM481" s="182"/>
      <c r="AN481" s="184"/>
      <c r="AO481" s="182">
        <f t="shared" si="2018"/>
        <v>0</v>
      </c>
      <c r="AP481" s="182"/>
      <c r="AQ481" s="182">
        <f t="shared" si="2019"/>
        <v>0</v>
      </c>
      <c r="AR481" s="182"/>
      <c r="AS481" s="182">
        <f t="shared" si="2020"/>
        <v>0</v>
      </c>
      <c r="AT481" s="182"/>
      <c r="AU481" s="183">
        <f t="shared" si="2021"/>
        <v>0</v>
      </c>
      <c r="AV481" s="188"/>
      <c r="AW481" s="182">
        <f t="shared" si="2022"/>
        <v>0</v>
      </c>
      <c r="AX481" s="182"/>
      <c r="AY481" s="187">
        <f t="shared" si="2023"/>
        <v>0</v>
      </c>
      <c r="AZ481" s="182"/>
      <c r="BA481" s="182"/>
      <c r="BB481" s="182"/>
      <c r="BC481" s="182">
        <f t="shared" si="2024"/>
        <v>0</v>
      </c>
      <c r="BD481" s="182"/>
      <c r="BE481" s="182">
        <f>(BD481*$E481*$F481*$G481*$L481*BE$12)</f>
        <v>0</v>
      </c>
      <c r="BF481" s="182"/>
      <c r="BG481" s="182">
        <f t="shared" si="2025"/>
        <v>0</v>
      </c>
      <c r="BH481" s="182"/>
      <c r="BI481" s="182">
        <f t="shared" si="2026"/>
        <v>0</v>
      </c>
      <c r="BJ481" s="182"/>
      <c r="BK481" s="182"/>
      <c r="BL481" s="182"/>
      <c r="BM481" s="182">
        <f t="shared" si="2027"/>
        <v>0</v>
      </c>
      <c r="BN481" s="182"/>
      <c r="BO481" s="182">
        <f t="shared" si="2028"/>
        <v>0</v>
      </c>
      <c r="BP481" s="182"/>
      <c r="BQ481" s="182">
        <f t="shared" si="2029"/>
        <v>0</v>
      </c>
      <c r="BR481" s="182"/>
      <c r="BS481" s="182">
        <f t="shared" si="2030"/>
        <v>0</v>
      </c>
      <c r="BT481" s="182"/>
      <c r="BU481" s="182">
        <f t="shared" si="2031"/>
        <v>0</v>
      </c>
      <c r="BV481" s="182"/>
      <c r="BW481" s="182">
        <f t="shared" si="2032"/>
        <v>0</v>
      </c>
      <c r="BX481" s="182"/>
      <c r="BY481" s="182">
        <f t="shared" si="2033"/>
        <v>0</v>
      </c>
      <c r="BZ481" s="182"/>
      <c r="CA481" s="187">
        <f t="shared" si="2034"/>
        <v>0</v>
      </c>
      <c r="CB481" s="182"/>
      <c r="CC481" s="182">
        <f t="shared" si="2035"/>
        <v>0</v>
      </c>
      <c r="CD481" s="182"/>
      <c r="CE481" s="183">
        <f t="shared" si="2036"/>
        <v>0</v>
      </c>
      <c r="CF481" s="182"/>
      <c r="CG481" s="182">
        <f t="shared" si="2037"/>
        <v>0</v>
      </c>
      <c r="CH481" s="182"/>
      <c r="CI481" s="182">
        <f t="shared" si="2038"/>
        <v>0</v>
      </c>
      <c r="CJ481" s="182"/>
      <c r="CK481" s="182"/>
      <c r="CL481" s="182"/>
      <c r="CM481" s="182">
        <f t="shared" si="2039"/>
        <v>0</v>
      </c>
      <c r="CN481" s="182"/>
      <c r="CO481" s="182">
        <f t="shared" si="2040"/>
        <v>0</v>
      </c>
      <c r="CP481" s="182"/>
      <c r="CQ481" s="182">
        <f t="shared" si="2041"/>
        <v>0</v>
      </c>
      <c r="CR481" s="182"/>
      <c r="CS481" s="182">
        <f t="shared" si="2042"/>
        <v>0</v>
      </c>
      <c r="CT481" s="182"/>
      <c r="CU481" s="182">
        <f t="shared" si="2043"/>
        <v>0</v>
      </c>
      <c r="CV481" s="182"/>
      <c r="CW481" s="182">
        <v>0</v>
      </c>
      <c r="CX481" s="182"/>
      <c r="CY481" s="182">
        <f t="shared" si="2044"/>
        <v>0</v>
      </c>
      <c r="CZ481" s="182"/>
      <c r="DA481" s="182">
        <v>0</v>
      </c>
      <c r="DB481" s="188"/>
      <c r="DC481" s="182">
        <f t="shared" si="2045"/>
        <v>0</v>
      </c>
      <c r="DD481" s="182"/>
      <c r="DE481" s="187">
        <f t="shared" si="2046"/>
        <v>0</v>
      </c>
      <c r="DF481" s="182"/>
      <c r="DG481" s="182"/>
      <c r="DH481" s="189"/>
      <c r="DI481" s="182">
        <f t="shared" si="2047"/>
        <v>0</v>
      </c>
      <c r="DJ481" s="182"/>
      <c r="DK481" s="182">
        <f t="shared" si="2048"/>
        <v>0</v>
      </c>
      <c r="DL481" s="182"/>
      <c r="DM481" s="182">
        <f t="shared" si="2049"/>
        <v>0</v>
      </c>
      <c r="DN481" s="182"/>
      <c r="DO481" s="187">
        <f t="shared" si="2050"/>
        <v>0</v>
      </c>
      <c r="DP481" s="187"/>
      <c r="DQ481" s="187"/>
      <c r="DR481" s="183">
        <f t="shared" si="1966"/>
        <v>1</v>
      </c>
      <c r="DS481" s="183">
        <f t="shared" si="1966"/>
        <v>237772.16399999999</v>
      </c>
      <c r="DT481" s="182">
        <v>1</v>
      </c>
      <c r="DU481" s="182">
        <v>237772.16399999999</v>
      </c>
      <c r="DV481" s="167">
        <f t="shared" si="2011"/>
        <v>0</v>
      </c>
      <c r="DW481" s="167">
        <f t="shared" si="2011"/>
        <v>0</v>
      </c>
    </row>
    <row r="482" spans="1:127" ht="45" customHeight="1" x14ac:dyDescent="0.25">
      <c r="A482" s="154"/>
      <c r="B482" s="176">
        <v>430</v>
      </c>
      <c r="C482" s="310" t="s">
        <v>1031</v>
      </c>
      <c r="D482" s="210" t="s">
        <v>1032</v>
      </c>
      <c r="E482" s="158">
        <v>25969</v>
      </c>
      <c r="F482" s="179">
        <v>3.86</v>
      </c>
      <c r="G482" s="168">
        <v>1</v>
      </c>
      <c r="H482" s="169"/>
      <c r="I482" s="169"/>
      <c r="J482" s="169"/>
      <c r="K482" s="106"/>
      <c r="L482" s="180">
        <v>1.4</v>
      </c>
      <c r="M482" s="180">
        <v>1.68</v>
      </c>
      <c r="N482" s="180">
        <v>2.23</v>
      </c>
      <c r="O482" s="181">
        <v>2.57</v>
      </c>
      <c r="P482" s="182">
        <v>1</v>
      </c>
      <c r="Q482" s="182">
        <f t="shared" si="2012"/>
        <v>140336.476</v>
      </c>
      <c r="R482" s="182"/>
      <c r="S482" s="187">
        <f t="shared" si="2013"/>
        <v>0</v>
      </c>
      <c r="T482" s="182"/>
      <c r="U482" s="182">
        <f t="shared" si="2014"/>
        <v>0</v>
      </c>
      <c r="V482" s="182"/>
      <c r="W482" s="182">
        <f t="shared" si="2015"/>
        <v>0</v>
      </c>
      <c r="X482" s="182"/>
      <c r="Y482" s="182">
        <v>0</v>
      </c>
      <c r="Z482" s="182"/>
      <c r="AA482" s="182">
        <v>0</v>
      </c>
      <c r="AB482" s="182">
        <f t="shared" si="1972"/>
        <v>0</v>
      </c>
      <c r="AC482" s="182">
        <f t="shared" si="1972"/>
        <v>0</v>
      </c>
      <c r="AD482" s="182"/>
      <c r="AE482" s="182">
        <f t="shared" si="2016"/>
        <v>0</v>
      </c>
      <c r="AF482" s="182"/>
      <c r="AG482" s="182"/>
      <c r="AH482" s="182"/>
      <c r="AI482" s="182">
        <f t="shared" si="2017"/>
        <v>0</v>
      </c>
      <c r="AJ482" s="182"/>
      <c r="AK482" s="182"/>
      <c r="AL482" s="182"/>
      <c r="AM482" s="182"/>
      <c r="AN482" s="184"/>
      <c r="AO482" s="182">
        <f t="shared" si="2018"/>
        <v>0</v>
      </c>
      <c r="AP482" s="182"/>
      <c r="AQ482" s="182">
        <f t="shared" si="2019"/>
        <v>0</v>
      </c>
      <c r="AR482" s="182"/>
      <c r="AS482" s="182">
        <f t="shared" si="2020"/>
        <v>0</v>
      </c>
      <c r="AT482" s="182"/>
      <c r="AU482" s="183">
        <f t="shared" si="2021"/>
        <v>0</v>
      </c>
      <c r="AV482" s="188"/>
      <c r="AW482" s="182">
        <f t="shared" si="2022"/>
        <v>0</v>
      </c>
      <c r="AX482" s="182"/>
      <c r="AY482" s="187">
        <f t="shared" si="2023"/>
        <v>0</v>
      </c>
      <c r="AZ482" s="182"/>
      <c r="BA482" s="182"/>
      <c r="BB482" s="182"/>
      <c r="BC482" s="182">
        <f t="shared" si="2024"/>
        <v>0</v>
      </c>
      <c r="BD482" s="182"/>
      <c r="BE482" s="182">
        <f>(BD482*$E482*$F482*$G482*$L482*BE$12)</f>
        <v>0</v>
      </c>
      <c r="BF482" s="182"/>
      <c r="BG482" s="182">
        <f t="shared" si="2025"/>
        <v>0</v>
      </c>
      <c r="BH482" s="182"/>
      <c r="BI482" s="182">
        <f t="shared" si="2026"/>
        <v>0</v>
      </c>
      <c r="BJ482" s="182"/>
      <c r="BK482" s="182"/>
      <c r="BL482" s="182"/>
      <c r="BM482" s="182">
        <f t="shared" si="2027"/>
        <v>0</v>
      </c>
      <c r="BN482" s="182"/>
      <c r="BO482" s="182">
        <f t="shared" si="2028"/>
        <v>0</v>
      </c>
      <c r="BP482" s="182"/>
      <c r="BQ482" s="182">
        <f t="shared" si="2029"/>
        <v>0</v>
      </c>
      <c r="BR482" s="182"/>
      <c r="BS482" s="182">
        <f t="shared" si="2030"/>
        <v>0</v>
      </c>
      <c r="BT482" s="182"/>
      <c r="BU482" s="182">
        <f t="shared" si="2031"/>
        <v>0</v>
      </c>
      <c r="BV482" s="182"/>
      <c r="BW482" s="182">
        <f t="shared" si="2032"/>
        <v>0</v>
      </c>
      <c r="BX482" s="182"/>
      <c r="BY482" s="182">
        <f t="shared" si="2033"/>
        <v>0</v>
      </c>
      <c r="BZ482" s="182"/>
      <c r="CA482" s="187">
        <f t="shared" si="2034"/>
        <v>0</v>
      </c>
      <c r="CB482" s="182"/>
      <c r="CC482" s="182">
        <f t="shared" si="2035"/>
        <v>0</v>
      </c>
      <c r="CD482" s="182"/>
      <c r="CE482" s="183">
        <f t="shared" si="2036"/>
        <v>0</v>
      </c>
      <c r="CF482" s="182"/>
      <c r="CG482" s="182">
        <f t="shared" si="2037"/>
        <v>0</v>
      </c>
      <c r="CH482" s="182"/>
      <c r="CI482" s="182">
        <f t="shared" si="2038"/>
        <v>0</v>
      </c>
      <c r="CJ482" s="182"/>
      <c r="CK482" s="182"/>
      <c r="CL482" s="182"/>
      <c r="CM482" s="182">
        <f t="shared" si="2039"/>
        <v>0</v>
      </c>
      <c r="CN482" s="182"/>
      <c r="CO482" s="182">
        <f t="shared" si="2040"/>
        <v>0</v>
      </c>
      <c r="CP482" s="182"/>
      <c r="CQ482" s="182">
        <f t="shared" si="2041"/>
        <v>0</v>
      </c>
      <c r="CR482" s="182"/>
      <c r="CS482" s="182">
        <f t="shared" si="2042"/>
        <v>0</v>
      </c>
      <c r="CT482" s="182"/>
      <c r="CU482" s="182">
        <f t="shared" si="2043"/>
        <v>0</v>
      </c>
      <c r="CV482" s="182"/>
      <c r="CW482" s="182">
        <v>0</v>
      </c>
      <c r="CX482" s="182"/>
      <c r="CY482" s="182">
        <f t="shared" si="2044"/>
        <v>0</v>
      </c>
      <c r="CZ482" s="182"/>
      <c r="DA482" s="182">
        <v>0</v>
      </c>
      <c r="DB482" s="188"/>
      <c r="DC482" s="182">
        <f t="shared" si="2045"/>
        <v>0</v>
      </c>
      <c r="DD482" s="182"/>
      <c r="DE482" s="187">
        <f t="shared" si="2046"/>
        <v>0</v>
      </c>
      <c r="DF482" s="182"/>
      <c r="DG482" s="182"/>
      <c r="DH482" s="189"/>
      <c r="DI482" s="182">
        <f t="shared" si="2047"/>
        <v>0</v>
      </c>
      <c r="DJ482" s="182"/>
      <c r="DK482" s="182">
        <f t="shared" si="2048"/>
        <v>0</v>
      </c>
      <c r="DL482" s="182"/>
      <c r="DM482" s="182">
        <f t="shared" si="2049"/>
        <v>0</v>
      </c>
      <c r="DN482" s="182"/>
      <c r="DO482" s="187">
        <f t="shared" si="2050"/>
        <v>0</v>
      </c>
      <c r="DP482" s="187"/>
      <c r="DQ482" s="187"/>
      <c r="DR482" s="183">
        <f t="shared" si="1966"/>
        <v>1</v>
      </c>
      <c r="DS482" s="183">
        <f t="shared" si="1966"/>
        <v>140336.476</v>
      </c>
      <c r="DT482" s="182">
        <v>1</v>
      </c>
      <c r="DU482" s="182">
        <v>140336.476</v>
      </c>
      <c r="DV482" s="167">
        <f t="shared" si="2011"/>
        <v>0</v>
      </c>
      <c r="DW482" s="167">
        <f t="shared" si="2011"/>
        <v>0</v>
      </c>
    </row>
    <row r="483" spans="1:127" s="288" customFormat="1" ht="21.75" customHeight="1" x14ac:dyDescent="0.3">
      <c r="A483" s="170">
        <v>38</v>
      </c>
      <c r="B483" s="281"/>
      <c r="C483" s="282"/>
      <c r="D483" s="283" t="s">
        <v>1033</v>
      </c>
      <c r="E483" s="158">
        <v>25969</v>
      </c>
      <c r="F483" s="284">
        <v>1.5</v>
      </c>
      <c r="G483" s="168">
        <v>1</v>
      </c>
      <c r="H483" s="285"/>
      <c r="I483" s="285"/>
      <c r="J483" s="285"/>
      <c r="K483" s="173"/>
      <c r="L483" s="286">
        <v>1.4</v>
      </c>
      <c r="M483" s="286">
        <v>1.68</v>
      </c>
      <c r="N483" s="286">
        <v>2.23</v>
      </c>
      <c r="O483" s="287">
        <v>2.57</v>
      </c>
      <c r="P483" s="166">
        <f t="shared" ref="P483:CA483" si="2051">SUM(P484)</f>
        <v>45</v>
      </c>
      <c r="Q483" s="166">
        <f t="shared" si="2051"/>
        <v>2699477.5500000003</v>
      </c>
      <c r="R483" s="166">
        <f t="shared" si="2051"/>
        <v>0</v>
      </c>
      <c r="S483" s="166">
        <f t="shared" si="2051"/>
        <v>0</v>
      </c>
      <c r="T483" s="166">
        <f t="shared" si="2051"/>
        <v>0</v>
      </c>
      <c r="U483" s="166">
        <f t="shared" si="2051"/>
        <v>0</v>
      </c>
      <c r="V483" s="166">
        <f t="shared" si="2051"/>
        <v>0</v>
      </c>
      <c r="W483" s="166">
        <f t="shared" si="2051"/>
        <v>0</v>
      </c>
      <c r="X483" s="166">
        <v>0</v>
      </c>
      <c r="Y483" s="166">
        <v>0</v>
      </c>
      <c r="Z483" s="166">
        <v>0</v>
      </c>
      <c r="AA483" s="166">
        <v>0</v>
      </c>
      <c r="AB483" s="166">
        <f t="shared" si="2051"/>
        <v>0</v>
      </c>
      <c r="AC483" s="166">
        <f t="shared" si="2051"/>
        <v>0</v>
      </c>
      <c r="AD483" s="166">
        <f t="shared" si="2051"/>
        <v>0</v>
      </c>
      <c r="AE483" s="166">
        <f t="shared" si="2051"/>
        <v>0</v>
      </c>
      <c r="AF483" s="166">
        <f t="shared" si="2051"/>
        <v>0</v>
      </c>
      <c r="AG483" s="166">
        <f t="shared" si="2051"/>
        <v>0</v>
      </c>
      <c r="AH483" s="166">
        <f t="shared" si="2051"/>
        <v>0</v>
      </c>
      <c r="AI483" s="166">
        <f t="shared" si="2051"/>
        <v>0</v>
      </c>
      <c r="AJ483" s="166">
        <f>SUM(AJ484)</f>
        <v>0</v>
      </c>
      <c r="AK483" s="166">
        <f>SUM(AK484)</f>
        <v>0</v>
      </c>
      <c r="AL483" s="166">
        <f t="shared" si="2051"/>
        <v>0</v>
      </c>
      <c r="AM483" s="166">
        <f t="shared" si="2051"/>
        <v>0</v>
      </c>
      <c r="AN483" s="166">
        <f t="shared" si="2051"/>
        <v>0</v>
      </c>
      <c r="AO483" s="166">
        <f t="shared" si="2051"/>
        <v>0</v>
      </c>
      <c r="AP483" s="166">
        <f t="shared" si="2051"/>
        <v>0</v>
      </c>
      <c r="AQ483" s="166">
        <f t="shared" si="2051"/>
        <v>0</v>
      </c>
      <c r="AR483" s="166">
        <f t="shared" si="2051"/>
        <v>0</v>
      </c>
      <c r="AS483" s="166">
        <f t="shared" si="2051"/>
        <v>0</v>
      </c>
      <c r="AT483" s="166">
        <f t="shared" si="2051"/>
        <v>0</v>
      </c>
      <c r="AU483" s="166">
        <f t="shared" si="2051"/>
        <v>0</v>
      </c>
      <c r="AV483" s="166">
        <f t="shared" si="2051"/>
        <v>0</v>
      </c>
      <c r="AW483" s="166">
        <f t="shared" si="2051"/>
        <v>0</v>
      </c>
      <c r="AX483" s="166">
        <f t="shared" si="2051"/>
        <v>110</v>
      </c>
      <c r="AY483" s="166">
        <f t="shared" si="2051"/>
        <v>7918467.4800000004</v>
      </c>
      <c r="AZ483" s="166">
        <f t="shared" si="2051"/>
        <v>0</v>
      </c>
      <c r="BA483" s="166">
        <f t="shared" si="2051"/>
        <v>0</v>
      </c>
      <c r="BB483" s="166">
        <f t="shared" si="2051"/>
        <v>0</v>
      </c>
      <c r="BC483" s="166">
        <f t="shared" si="2051"/>
        <v>0</v>
      </c>
      <c r="BD483" s="166">
        <f t="shared" si="2051"/>
        <v>0</v>
      </c>
      <c r="BE483" s="166">
        <f t="shared" si="2051"/>
        <v>0</v>
      </c>
      <c r="BF483" s="166">
        <f t="shared" si="2051"/>
        <v>0</v>
      </c>
      <c r="BG483" s="166">
        <f t="shared" si="2051"/>
        <v>0</v>
      </c>
      <c r="BH483" s="166">
        <f t="shared" si="2051"/>
        <v>0</v>
      </c>
      <c r="BI483" s="166">
        <f t="shared" si="2051"/>
        <v>0</v>
      </c>
      <c r="BJ483" s="166">
        <f t="shared" si="2051"/>
        <v>0</v>
      </c>
      <c r="BK483" s="166">
        <f t="shared" si="2051"/>
        <v>0</v>
      </c>
      <c r="BL483" s="166">
        <f t="shared" si="2051"/>
        <v>0</v>
      </c>
      <c r="BM483" s="166">
        <f t="shared" si="2051"/>
        <v>0</v>
      </c>
      <c r="BN483" s="166">
        <f t="shared" si="2051"/>
        <v>57</v>
      </c>
      <c r="BO483" s="166">
        <f t="shared" si="2051"/>
        <v>4103205.8760000002</v>
      </c>
      <c r="BP483" s="166">
        <f t="shared" si="2051"/>
        <v>0</v>
      </c>
      <c r="BQ483" s="166">
        <f t="shared" si="2051"/>
        <v>0</v>
      </c>
      <c r="BR483" s="166">
        <f t="shared" si="2051"/>
        <v>0</v>
      </c>
      <c r="BS483" s="166">
        <f t="shared" si="2051"/>
        <v>0</v>
      </c>
      <c r="BT483" s="166">
        <f t="shared" si="2051"/>
        <v>250</v>
      </c>
      <c r="BU483" s="166">
        <f t="shared" si="2051"/>
        <v>18225585.393959999</v>
      </c>
      <c r="BV483" s="166">
        <f t="shared" si="2051"/>
        <v>0</v>
      </c>
      <c r="BW483" s="166">
        <f t="shared" si="2051"/>
        <v>0</v>
      </c>
      <c r="BX483" s="166">
        <f t="shared" si="2051"/>
        <v>0</v>
      </c>
      <c r="BY483" s="166">
        <f t="shared" si="2051"/>
        <v>0</v>
      </c>
      <c r="BZ483" s="166">
        <f t="shared" si="2051"/>
        <v>0</v>
      </c>
      <c r="CA483" s="166">
        <f t="shared" si="2051"/>
        <v>0</v>
      </c>
      <c r="CB483" s="166">
        <f t="shared" ref="CB483:DQ483" si="2052">SUM(CB484)</f>
        <v>0</v>
      </c>
      <c r="CC483" s="166">
        <f t="shared" si="2052"/>
        <v>0</v>
      </c>
      <c r="CD483" s="166">
        <f t="shared" si="2052"/>
        <v>0</v>
      </c>
      <c r="CE483" s="166">
        <f t="shared" si="2052"/>
        <v>0</v>
      </c>
      <c r="CF483" s="166">
        <f t="shared" si="2052"/>
        <v>0</v>
      </c>
      <c r="CG483" s="166">
        <f t="shared" si="2052"/>
        <v>0</v>
      </c>
      <c r="CH483" s="166">
        <f t="shared" si="2052"/>
        <v>30</v>
      </c>
      <c r="CI483" s="166">
        <f t="shared" si="2052"/>
        <v>2187921.6461339998</v>
      </c>
      <c r="CJ483" s="166">
        <f t="shared" si="2052"/>
        <v>0</v>
      </c>
      <c r="CK483" s="166">
        <f t="shared" si="2052"/>
        <v>0</v>
      </c>
      <c r="CL483" s="166">
        <f t="shared" si="2052"/>
        <v>0</v>
      </c>
      <c r="CM483" s="166">
        <f t="shared" si="2052"/>
        <v>0</v>
      </c>
      <c r="CN483" s="166">
        <f t="shared" si="2052"/>
        <v>170</v>
      </c>
      <c r="CO483" s="166">
        <f t="shared" si="2052"/>
        <v>7416746.4000000004</v>
      </c>
      <c r="CP483" s="166">
        <f t="shared" si="2052"/>
        <v>0</v>
      </c>
      <c r="CQ483" s="166">
        <f t="shared" si="2052"/>
        <v>0</v>
      </c>
      <c r="CR483" s="166">
        <f t="shared" si="2052"/>
        <v>176</v>
      </c>
      <c r="CS483" s="166">
        <f t="shared" si="2052"/>
        <v>11506908.982183997</v>
      </c>
      <c r="CT483" s="166">
        <f t="shared" si="2052"/>
        <v>0</v>
      </c>
      <c r="CU483" s="166">
        <f t="shared" si="2052"/>
        <v>0</v>
      </c>
      <c r="CV483" s="166">
        <f t="shared" si="2052"/>
        <v>216</v>
      </c>
      <c r="CW483" s="166">
        <v>13939120.440000055</v>
      </c>
      <c r="CX483" s="166">
        <f t="shared" si="2052"/>
        <v>0</v>
      </c>
      <c r="CY483" s="166">
        <f t="shared" si="2052"/>
        <v>0</v>
      </c>
      <c r="CZ483" s="166">
        <f t="shared" si="2052"/>
        <v>0</v>
      </c>
      <c r="DA483" s="166">
        <v>0</v>
      </c>
      <c r="DB483" s="166">
        <f t="shared" si="2052"/>
        <v>0</v>
      </c>
      <c r="DC483" s="166">
        <f t="shared" si="2052"/>
        <v>0</v>
      </c>
      <c r="DD483" s="166">
        <f t="shared" si="2052"/>
        <v>0</v>
      </c>
      <c r="DE483" s="166">
        <f t="shared" si="2052"/>
        <v>0</v>
      </c>
      <c r="DF483" s="166">
        <f t="shared" si="2052"/>
        <v>0</v>
      </c>
      <c r="DG483" s="166">
        <f t="shared" si="2052"/>
        <v>0</v>
      </c>
      <c r="DH483" s="166">
        <f t="shared" si="2052"/>
        <v>0</v>
      </c>
      <c r="DI483" s="166">
        <f t="shared" si="2052"/>
        <v>0</v>
      </c>
      <c r="DJ483" s="166">
        <f t="shared" si="2052"/>
        <v>0</v>
      </c>
      <c r="DK483" s="166">
        <f t="shared" si="2052"/>
        <v>0</v>
      </c>
      <c r="DL483" s="166">
        <f t="shared" si="2052"/>
        <v>98</v>
      </c>
      <c r="DM483" s="166">
        <f t="shared" si="2052"/>
        <v>8512897.8900000006</v>
      </c>
      <c r="DN483" s="166">
        <f t="shared" si="2052"/>
        <v>23</v>
      </c>
      <c r="DO483" s="166">
        <f t="shared" si="2052"/>
        <v>2302541.3849999998</v>
      </c>
      <c r="DP483" s="166">
        <f t="shared" si="2052"/>
        <v>0</v>
      </c>
      <c r="DQ483" s="166">
        <f t="shared" si="2052"/>
        <v>0</v>
      </c>
      <c r="DR483" s="166">
        <f>SUM(DR484)</f>
        <v>1175</v>
      </c>
      <c r="DS483" s="166">
        <f t="shared" ref="DS483" si="2053">SUM(DS484)</f>
        <v>78812873.043278053</v>
      </c>
      <c r="DT483" s="166">
        <v>1175</v>
      </c>
      <c r="DU483" s="166">
        <v>75679612.901000068</v>
      </c>
      <c r="DV483" s="167">
        <f t="shared" si="2011"/>
        <v>0</v>
      </c>
      <c r="DW483" s="167">
        <f t="shared" si="2011"/>
        <v>3133260.1422779858</v>
      </c>
    </row>
    <row r="484" spans="1:127" ht="30" customHeight="1" x14ac:dyDescent="0.25">
      <c r="A484" s="154"/>
      <c r="B484" s="289">
        <v>431</v>
      </c>
      <c r="C484" s="177" t="s">
        <v>1034</v>
      </c>
      <c r="D484" s="248" t="s">
        <v>1035</v>
      </c>
      <c r="E484" s="158">
        <v>25969</v>
      </c>
      <c r="F484" s="250">
        <v>1.5</v>
      </c>
      <c r="G484" s="250">
        <v>1</v>
      </c>
      <c r="H484" s="285"/>
      <c r="I484" s="285"/>
      <c r="J484" s="285"/>
      <c r="K484" s="106"/>
      <c r="L484" s="290">
        <v>1.4</v>
      </c>
      <c r="M484" s="290">
        <v>1.68</v>
      </c>
      <c r="N484" s="290">
        <v>2.23</v>
      </c>
      <c r="O484" s="291">
        <v>2.57</v>
      </c>
      <c r="P484" s="182">
        <v>45</v>
      </c>
      <c r="Q484" s="182">
        <f>(P484*$E484*$F484*$G484*$L484*$Q$12)</f>
        <v>2699477.5500000003</v>
      </c>
      <c r="R484" s="182"/>
      <c r="S484" s="182">
        <f>(R484*$E484*$F484*$G484*$L484*$S$12)</f>
        <v>0</v>
      </c>
      <c r="T484" s="220"/>
      <c r="U484" s="182">
        <f t="shared" ref="U484" si="2054">(T484/12*11*$E484*$F484*$G484*$L484*$U$12)+(T484/12*1*$E484*$F484*$G484*$L484*$U$14)</f>
        <v>0</v>
      </c>
      <c r="V484" s="292"/>
      <c r="W484" s="183">
        <f>(V484*$E484*$F484*$G484*$L484*$W$12)/12*10+(V484*$E484*$F484*$G484*$L484*$W$13)/12*1++(V484*$E484*$F484*$G484*$L484*$W$14)/12*1</f>
        <v>0</v>
      </c>
      <c r="X484" s="293"/>
      <c r="Y484" s="293">
        <v>0</v>
      </c>
      <c r="Z484" s="293"/>
      <c r="AA484" s="293">
        <v>0</v>
      </c>
      <c r="AB484" s="182">
        <f>X484+Z484</f>
        <v>0</v>
      </c>
      <c r="AC484" s="182">
        <f>Y484+AA484</f>
        <v>0</v>
      </c>
      <c r="AD484" s="292"/>
      <c r="AE484" s="182">
        <f>(AD484*$E484*$F484*$G484*$L484*$AE$12)</f>
        <v>0</v>
      </c>
      <c r="AF484" s="292"/>
      <c r="AG484" s="182"/>
      <c r="AH484" s="220"/>
      <c r="AI484" s="182">
        <f>(AH484*$E484*$F484*$G484*$L484*$AI$12)</f>
        <v>0</v>
      </c>
      <c r="AJ484" s="220"/>
      <c r="AK484" s="220"/>
      <c r="AL484" s="292"/>
      <c r="AM484" s="182"/>
      <c r="AN484" s="221"/>
      <c r="AO484" s="182">
        <f>(AN484*$E484*$F484*$G484*$L484*$AO$12)</f>
        <v>0</v>
      </c>
      <c r="AP484" s="292"/>
      <c r="AQ484" s="183">
        <f>(AP484*$E484*$F484*$G484*$L484*$AQ$12)</f>
        <v>0</v>
      </c>
      <c r="AR484" s="220"/>
      <c r="AS484" s="182">
        <f>(AR484*$E484*$F484*$G484*$L484*$AS$12)/12*10+(AR484*$E484*$F484*$G484*$L484*$AS$13)/12*1+(AR484*$E484*$F484*$G484*$L484*$AS$14)/12*1</f>
        <v>0</v>
      </c>
      <c r="AT484" s="220"/>
      <c r="AU484" s="182">
        <f>(AT484*$E484*$F484*$G484*$M484*$AU$12)</f>
        <v>0</v>
      </c>
      <c r="AV484" s="294"/>
      <c r="AW484" s="182">
        <f>(AV484*$E484*$F484*$G484*$M484*$AW$12)</f>
        <v>0</v>
      </c>
      <c r="AX484" s="295">
        <v>110</v>
      </c>
      <c r="AY484" s="187">
        <f>(AX484*$E484*$F484*$G484*$M484*$AY$12)</f>
        <v>7918467.4800000004</v>
      </c>
      <c r="AZ484" s="292"/>
      <c r="BA484" s="182">
        <f>(AZ484*$E484*$F484*$G484*$L484*$BA$12)</f>
        <v>0</v>
      </c>
      <c r="BB484" s="292"/>
      <c r="BC484" s="182">
        <f>(BB484*$E484*$F484*$G484*$L484*$BC$12)</f>
        <v>0</v>
      </c>
      <c r="BD484" s="292"/>
      <c r="BE484" s="182">
        <f>(BD484*$E484*$F484*$G484*$L484*$BE$12)</f>
        <v>0</v>
      </c>
      <c r="BF484" s="292"/>
      <c r="BG484" s="182">
        <f>(BF484*$E484*$F484*$G484*$L484*$BG$12)</f>
        <v>0</v>
      </c>
      <c r="BH484" s="292"/>
      <c r="BI484" s="183">
        <f>(BH484*$E484*$F484*$G484*$L484*$BI$12)</f>
        <v>0</v>
      </c>
      <c r="BJ484" s="292"/>
      <c r="BK484" s="183">
        <f>(BJ484*$E484*$F484*$G484*$L484*$BK$12)</f>
        <v>0</v>
      </c>
      <c r="BL484" s="292"/>
      <c r="BM484" s="182">
        <f>(BL484*$E484*$F484*$G484*$L484*$BM$12)</f>
        <v>0</v>
      </c>
      <c r="BN484" s="220">
        <v>57</v>
      </c>
      <c r="BO484" s="182">
        <f>(BN484*$E484*$F484*$G484*$M484*$BO$12)</f>
        <v>4103205.8760000002</v>
      </c>
      <c r="BP484" s="292"/>
      <c r="BQ484" s="182">
        <f>(BP484*$E484*$F484*$G484*$M484*$BQ$12)</f>
        <v>0</v>
      </c>
      <c r="BR484" s="292"/>
      <c r="BS484" s="183">
        <f>(BR484*$E484*$F484*$G484*$M484*$BS$12)</f>
        <v>0</v>
      </c>
      <c r="BT484" s="292">
        <v>250</v>
      </c>
      <c r="BU484" s="182">
        <f t="shared" ref="BU484" si="2055">(BT484*$E484*$F484*$G484*$M484*$BU$12)/12*10+(BT484*$E484*$F484*$G484*$M484*$BU$13)/12+(BT484*$E484*$F484*$G484*$M484*$BU$13*$BU$15)/12</f>
        <v>18225585.393959999</v>
      </c>
      <c r="BV484" s="292"/>
      <c r="BW484" s="182">
        <f>(BV484*$E484*$F484*$G484*$M484*$BW$12)</f>
        <v>0</v>
      </c>
      <c r="BX484" s="292"/>
      <c r="BY484" s="183">
        <f>(BX484*$E484*$F484*$G484*$M484*$BY$12)</f>
        <v>0</v>
      </c>
      <c r="BZ484" s="292"/>
      <c r="CA484" s="187">
        <f>(BZ484*$E484*$F484*$G484*$M484*$CA$12)</f>
        <v>0</v>
      </c>
      <c r="CB484" s="295"/>
      <c r="CC484" s="182">
        <f>(CB484*$E484*$F484*$G484*$L484*$CC$12)</f>
        <v>0</v>
      </c>
      <c r="CD484" s="292"/>
      <c r="CE484" s="182">
        <f>(CD484*$E484*$F484*$G484*$L484*$CE$12)</f>
        <v>0</v>
      </c>
      <c r="CF484" s="292"/>
      <c r="CG484" s="182">
        <f>(CF484*$E484*$F484*$G484*$L484*$CG$12)</f>
        <v>0</v>
      </c>
      <c r="CH484" s="292">
        <v>30</v>
      </c>
      <c r="CI484" s="182">
        <f t="shared" ref="CI484" si="2056">(CH484*$E484*$F484*$G484*$M484*$CI$12)/12*11+(CH484*$E484*$F484*$G484*$M484*$CI$12*$CI$15)/12</f>
        <v>2187921.6461339998</v>
      </c>
      <c r="CJ484" s="292"/>
      <c r="CK484" s="182"/>
      <c r="CL484" s="292"/>
      <c r="CM484" s="183">
        <f>(CL484*$E484*$F484*$G484*$L484*$CM$12)</f>
        <v>0</v>
      </c>
      <c r="CN484" s="292">
        <v>170</v>
      </c>
      <c r="CO484" s="183">
        <f>(CN484*$E484*$F484*$G484*$L484*$CO$12)</f>
        <v>7416746.4000000004</v>
      </c>
      <c r="CP484" s="292"/>
      <c r="CQ484" s="182">
        <f>(CP484*$E484*$F484*$G484*$L484*$CQ$12)</f>
        <v>0</v>
      </c>
      <c r="CR484" s="292">
        <v>176</v>
      </c>
      <c r="CS484" s="182">
        <f t="shared" ref="CS484" si="2057">(CR484*$E484*$F484*$G484*$L484*$CS$12)/12*10+(CR484*$E484*$F484*$G484*$L484*$CS$13)/12+(CR484*$E484*$F484*$G484*$L484*$CS$13*$CS$15)/12</f>
        <v>11506908.982183997</v>
      </c>
      <c r="CT484" s="292"/>
      <c r="CU484" s="182">
        <f>(CT484*$E484*$F484*$G484*$L484*$CU$12)</f>
        <v>0</v>
      </c>
      <c r="CV484" s="292">
        <v>216</v>
      </c>
      <c r="CW484" s="182">
        <v>13939120.440000055</v>
      </c>
      <c r="CX484" s="292"/>
      <c r="CY484" s="182">
        <f>(CX484*$E484*$F484*$G484*$M484*$CY$12)</f>
        <v>0</v>
      </c>
      <c r="CZ484" s="292"/>
      <c r="DA484" s="182">
        <v>0</v>
      </c>
      <c r="DB484" s="294"/>
      <c r="DC484" s="182">
        <f>(DB484*$E484*$F484*$G484*$M484*$DC$12)</f>
        <v>0</v>
      </c>
      <c r="DD484" s="292"/>
      <c r="DE484" s="187"/>
      <c r="DF484" s="295"/>
      <c r="DG484" s="182">
        <f>(DF484*$E484*$F484*$G484*$M484*$DG$12)</f>
        <v>0</v>
      </c>
      <c r="DH484" s="296"/>
      <c r="DI484" s="182">
        <f>(DH484*$E484*$F484*$G484*$M484*$DI$12)</f>
        <v>0</v>
      </c>
      <c r="DJ484" s="292"/>
      <c r="DK484" s="182">
        <f>(DJ484*$E484*$F484*$G484*$M484*$DK$12)</f>
        <v>0</v>
      </c>
      <c r="DL484" s="182">
        <f>ROUND(130*0.75,0)</f>
        <v>98</v>
      </c>
      <c r="DM484" s="182">
        <f>(DL484*$E484*$F484*$G484*$N484*$DM$12)</f>
        <v>8512897.8900000006</v>
      </c>
      <c r="DN484" s="297">
        <f>ROUND(30*0.75,0)</f>
        <v>23</v>
      </c>
      <c r="DO484" s="190">
        <f>(DN484*$E484*$F484*$G484*$O484*$DO$12)</f>
        <v>2302541.3849999998</v>
      </c>
      <c r="DP484" s="187"/>
      <c r="DQ484" s="187"/>
      <c r="DR484" s="183">
        <f>SUM(P484,R484,T484,V484,AB484,AJ484,AD484,AF484,AH484,AL484,AN484,AP484,AV484,AZ484,BB484,CF484,AR484,BF484,BH484,BJ484,CT484,BL484,BN484,AT484,BR484,AX484,CV484,BT484,CX484,BV484,BX484,BZ484,CH484,CB484,CD484,CJ484,CL484,CN484,CP484,CR484,CZ484,DB484,BP484,BD484,DD484,DF484,DH484,DJ484,DL484,DN484,DP484)</f>
        <v>1175</v>
      </c>
      <c r="DS484" s="183">
        <f>SUM(Q484,S484,U484,W484,AC484,AK484,AE484,AG484,AI484,AM484,AO484,AQ484,AW484,BA484,BC484,CG484,AS484,BG484,BI484,BK484,CU484,BM484,BO484,AU484,BS484,AY484,CW484,BU484,CY484,BW484,BY484,CA484,CI484,CC484,CE484,CK484,CM484,CO484,CQ484,CS484,DA484,DC484,BQ484,BE484,DE484,DG484,DI484,DK484,DM484,DO484,DQ484)</f>
        <v>78812873.043278053</v>
      </c>
      <c r="DT484" s="182">
        <v>1175</v>
      </c>
      <c r="DU484" s="182">
        <v>75679612.901000068</v>
      </c>
      <c r="DV484" s="167">
        <f t="shared" si="2011"/>
        <v>0</v>
      </c>
      <c r="DW484" s="167">
        <f t="shared" si="2011"/>
        <v>3133260.1422779858</v>
      </c>
    </row>
    <row r="485" spans="1:127" s="53" customFormat="1" ht="19.5" customHeight="1" x14ac:dyDescent="0.25">
      <c r="A485" s="298" t="s">
        <v>1036</v>
      </c>
      <c r="B485" s="299"/>
      <c r="C485" s="300"/>
      <c r="D485" s="301" t="s">
        <v>1037</v>
      </c>
      <c r="E485" s="302"/>
      <c r="F485" s="303"/>
      <c r="G485" s="303"/>
      <c r="H485" s="303"/>
      <c r="I485" s="303"/>
      <c r="J485" s="303"/>
      <c r="K485" s="173"/>
      <c r="L485" s="303"/>
      <c r="M485" s="303"/>
      <c r="N485" s="303"/>
      <c r="O485" s="303"/>
      <c r="P485" s="304">
        <f t="shared" ref="P485:AI485" si="2058">P16+P18+P33+P36+P43+P50+P55+P57+P61+P72+P80+P85+P105+P115+P119+P139+P152+P160+P164+P244+P255+P265+P270+P277+P282+P295+P297+P312+P318+P332+P348+P368+P388+P397+P403+P456+P413+P483</f>
        <v>20792</v>
      </c>
      <c r="Q485" s="305">
        <f t="shared" si="2058"/>
        <v>1337446163.070544</v>
      </c>
      <c r="R485" s="306">
        <f t="shared" si="2058"/>
        <v>14308</v>
      </c>
      <c r="S485" s="305">
        <f t="shared" si="2058"/>
        <v>1090533522.7414963</v>
      </c>
      <c r="T485" s="306">
        <f t="shared" si="2058"/>
        <v>10978</v>
      </c>
      <c r="U485" s="305">
        <f t="shared" si="2058"/>
        <v>621102987.15928054</v>
      </c>
      <c r="V485" s="304">
        <f t="shared" si="2058"/>
        <v>9674</v>
      </c>
      <c r="W485" s="305">
        <f t="shared" si="2058"/>
        <v>769236762.50385869</v>
      </c>
      <c r="X485" s="305">
        <v>8039</v>
      </c>
      <c r="Y485" s="305">
        <v>951859009.83963072</v>
      </c>
      <c r="Z485" s="305">
        <v>295</v>
      </c>
      <c r="AA485" s="305">
        <v>39849196.092587382</v>
      </c>
      <c r="AB485" s="304">
        <f t="shared" si="2058"/>
        <v>8334</v>
      </c>
      <c r="AC485" s="305">
        <f t="shared" si="2058"/>
        <v>991708205.93221796</v>
      </c>
      <c r="AD485" s="304">
        <f t="shared" si="2058"/>
        <v>1356</v>
      </c>
      <c r="AE485" s="305">
        <f t="shared" si="2058"/>
        <v>110468817.97736911</v>
      </c>
      <c r="AF485" s="304">
        <f t="shared" si="2058"/>
        <v>115</v>
      </c>
      <c r="AG485" s="305">
        <f t="shared" si="2058"/>
        <v>5000322.0997647997</v>
      </c>
      <c r="AH485" s="304">
        <f t="shared" si="2058"/>
        <v>4417</v>
      </c>
      <c r="AI485" s="305">
        <f t="shared" si="2058"/>
        <v>230508608.21162</v>
      </c>
      <c r="AJ485" s="304"/>
      <c r="AK485" s="304"/>
      <c r="AL485" s="304">
        <f t="shared" ref="AL485:CW485" si="2059">AL16+AL18+AL33+AL36+AL43+AL50+AL55+AL57+AL61+AL72+AL80+AL85+AL105+AL115+AL119+AL139+AL152+AL160+AL164+AL244+AL255+AL265+AL270+AL277+AL282+AL295+AL297+AL312+AL318+AL332+AL348+AL368+AL388+AL397+AL403+AL456+AL413+AL483</f>
        <v>0</v>
      </c>
      <c r="AM485" s="304">
        <f t="shared" si="2059"/>
        <v>0</v>
      </c>
      <c r="AN485" s="304">
        <f t="shared" si="2059"/>
        <v>1039</v>
      </c>
      <c r="AO485" s="305">
        <f t="shared" si="2059"/>
        <v>33894146.782733038</v>
      </c>
      <c r="AP485" s="304">
        <f t="shared" si="2059"/>
        <v>13380</v>
      </c>
      <c r="AQ485" s="305">
        <f t="shared" si="2059"/>
        <v>521770146.08929116</v>
      </c>
      <c r="AR485" s="304">
        <f t="shared" si="2059"/>
        <v>9464</v>
      </c>
      <c r="AS485" s="305">
        <f t="shared" si="2059"/>
        <v>376372970.82647592</v>
      </c>
      <c r="AT485" s="304">
        <f t="shared" si="2059"/>
        <v>13852</v>
      </c>
      <c r="AU485" s="305">
        <f t="shared" si="2059"/>
        <v>949856614.61984098</v>
      </c>
      <c r="AV485" s="304">
        <f t="shared" si="2059"/>
        <v>3716</v>
      </c>
      <c r="AW485" s="305">
        <f t="shared" si="2059"/>
        <v>502356153.38999903</v>
      </c>
      <c r="AX485" s="304">
        <f t="shared" si="2059"/>
        <v>1334</v>
      </c>
      <c r="AY485" s="305">
        <f t="shared" si="2059"/>
        <v>57495748.829804197</v>
      </c>
      <c r="AZ485" s="304">
        <f t="shared" si="2059"/>
        <v>0</v>
      </c>
      <c r="BA485" s="304">
        <f t="shared" si="2059"/>
        <v>0</v>
      </c>
      <c r="BB485" s="304">
        <f t="shared" si="2059"/>
        <v>0</v>
      </c>
      <c r="BC485" s="304">
        <f t="shared" si="2059"/>
        <v>0</v>
      </c>
      <c r="BD485" s="304">
        <f t="shared" si="2059"/>
        <v>2800</v>
      </c>
      <c r="BE485" s="305">
        <f t="shared" si="2059"/>
        <v>131695239.31200001</v>
      </c>
      <c r="BF485" s="304">
        <f t="shared" si="2059"/>
        <v>2291</v>
      </c>
      <c r="BG485" s="305">
        <f t="shared" si="2059"/>
        <v>97227440.896800593</v>
      </c>
      <c r="BH485" s="304">
        <f t="shared" si="2059"/>
        <v>1482</v>
      </c>
      <c r="BI485" s="305">
        <f t="shared" si="2059"/>
        <v>60746624.899999909</v>
      </c>
      <c r="BJ485" s="304">
        <f t="shared" si="2059"/>
        <v>3497</v>
      </c>
      <c r="BK485" s="305">
        <f t="shared" si="2059"/>
        <v>161388184.78127187</v>
      </c>
      <c r="BL485" s="304">
        <f t="shared" si="2059"/>
        <v>2200</v>
      </c>
      <c r="BM485" s="305">
        <f t="shared" si="2059"/>
        <v>95885980.234649897</v>
      </c>
      <c r="BN485" s="304">
        <f t="shared" si="2059"/>
        <v>13789</v>
      </c>
      <c r="BO485" s="305">
        <f t="shared" si="2059"/>
        <v>781448458.9583298</v>
      </c>
      <c r="BP485" s="304">
        <f t="shared" si="2059"/>
        <v>2938</v>
      </c>
      <c r="BQ485" s="305">
        <f t="shared" si="2059"/>
        <v>171961247.43174389</v>
      </c>
      <c r="BR485" s="304">
        <f t="shared" si="2059"/>
        <v>7845</v>
      </c>
      <c r="BS485" s="305">
        <f t="shared" si="2059"/>
        <v>292441661.58669007</v>
      </c>
      <c r="BT485" s="304">
        <f t="shared" si="2059"/>
        <v>3100</v>
      </c>
      <c r="BU485" s="305">
        <f t="shared" si="2059"/>
        <v>143427544.94357631</v>
      </c>
      <c r="BV485" s="304">
        <f t="shared" si="2059"/>
        <v>2627</v>
      </c>
      <c r="BW485" s="305">
        <f t="shared" si="2059"/>
        <v>85360967.027064115</v>
      </c>
      <c r="BX485" s="304">
        <f t="shared" si="2059"/>
        <v>2929</v>
      </c>
      <c r="BY485" s="305">
        <f t="shared" si="2059"/>
        <v>147330873.86179632</v>
      </c>
      <c r="BZ485" s="304">
        <f t="shared" si="2059"/>
        <v>4587</v>
      </c>
      <c r="CA485" s="305">
        <f t="shared" si="2059"/>
        <v>219385522.39844835</v>
      </c>
      <c r="CB485" s="304">
        <f t="shared" si="2059"/>
        <v>1683</v>
      </c>
      <c r="CC485" s="305">
        <f t="shared" si="2059"/>
        <v>67403694.380300403</v>
      </c>
      <c r="CD485" s="304">
        <f t="shared" si="2059"/>
        <v>1760</v>
      </c>
      <c r="CE485" s="305">
        <f t="shared" si="2059"/>
        <v>64265711.289835192</v>
      </c>
      <c r="CF485" s="304">
        <f t="shared" si="2059"/>
        <v>584</v>
      </c>
      <c r="CG485" s="305">
        <f t="shared" si="2059"/>
        <v>23779906.788399998</v>
      </c>
      <c r="CH485" s="304">
        <f t="shared" si="2059"/>
        <v>4078</v>
      </c>
      <c r="CI485" s="305">
        <f t="shared" si="2059"/>
        <v>170155964.55967024</v>
      </c>
      <c r="CJ485" s="304">
        <f t="shared" si="2059"/>
        <v>0</v>
      </c>
      <c r="CK485" s="304">
        <f t="shared" si="2059"/>
        <v>0</v>
      </c>
      <c r="CL485" s="304">
        <f t="shared" si="2059"/>
        <v>774</v>
      </c>
      <c r="CM485" s="305">
        <f t="shared" si="2059"/>
        <v>20955798.8136</v>
      </c>
      <c r="CN485" s="304">
        <f t="shared" si="2059"/>
        <v>2538</v>
      </c>
      <c r="CO485" s="305">
        <f t="shared" si="2059"/>
        <v>69649326.841555983</v>
      </c>
      <c r="CP485" s="304">
        <f t="shared" si="2059"/>
        <v>2615</v>
      </c>
      <c r="CQ485" s="305">
        <f t="shared" si="2059"/>
        <v>83274655.807047084</v>
      </c>
      <c r="CR485" s="304">
        <f t="shared" si="2059"/>
        <v>4402</v>
      </c>
      <c r="CS485" s="305">
        <f t="shared" si="2059"/>
        <v>176701811.27684376</v>
      </c>
      <c r="CT485" s="304">
        <f t="shared" si="2059"/>
        <v>3425</v>
      </c>
      <c r="CU485" s="305">
        <f t="shared" si="2059"/>
        <v>105271814.54451829</v>
      </c>
      <c r="CV485" s="304">
        <f t="shared" si="2059"/>
        <v>6117</v>
      </c>
      <c r="CW485" s="305">
        <f t="shared" si="2059"/>
        <v>251837316.06</v>
      </c>
      <c r="CX485" s="304">
        <f t="shared" ref="CX485:DS485" si="2060">CX16+CX18+CX33+CX36+CX43+CX50+CX55+CX57+CX61+CX72+CX80+CX85+CX105+CX115+CX119+CX139+CX152+CX160+CX164+CX244+CX255+CX265+CX270+CX277+CX282+CX295+CX297+CX312+CX318+CX332+CX348+CX368+CX388+CX397+CX403+CX456+CX413+CX483</f>
        <v>2955</v>
      </c>
      <c r="CY485" s="305">
        <f t="shared" si="2060"/>
        <v>123319026.77492711</v>
      </c>
      <c r="CZ485" s="304">
        <f t="shared" si="2060"/>
        <v>1474</v>
      </c>
      <c r="DA485" s="304">
        <f t="shared" si="2060"/>
        <v>58481355.459999993</v>
      </c>
      <c r="DB485" s="304">
        <f t="shared" si="2060"/>
        <v>5237</v>
      </c>
      <c r="DC485" s="306">
        <f t="shared" si="2060"/>
        <v>172975341.27674037</v>
      </c>
      <c r="DD485" s="304">
        <f t="shared" si="2060"/>
        <v>0</v>
      </c>
      <c r="DE485" s="304">
        <f t="shared" si="2060"/>
        <v>0</v>
      </c>
      <c r="DF485" s="304">
        <f t="shared" si="2060"/>
        <v>728</v>
      </c>
      <c r="DG485" s="305">
        <f t="shared" si="2060"/>
        <v>30029097.335999999</v>
      </c>
      <c r="DH485" s="304">
        <f t="shared" si="2060"/>
        <v>209</v>
      </c>
      <c r="DI485" s="305">
        <f t="shared" si="2060"/>
        <v>5909705.4008193193</v>
      </c>
      <c r="DJ485" s="304">
        <f t="shared" si="2060"/>
        <v>2523</v>
      </c>
      <c r="DK485" s="305">
        <f t="shared" si="2060"/>
        <v>94806228.295035914</v>
      </c>
      <c r="DL485" s="304">
        <f t="shared" si="2060"/>
        <v>650</v>
      </c>
      <c r="DM485" s="305">
        <f t="shared" si="2060"/>
        <v>30138091.794737201</v>
      </c>
      <c r="DN485" s="304">
        <f t="shared" si="2060"/>
        <v>1009</v>
      </c>
      <c r="DO485" s="305">
        <f t="shared" si="2060"/>
        <v>55526502.829535641</v>
      </c>
      <c r="DP485" s="304">
        <f t="shared" si="2060"/>
        <v>5</v>
      </c>
      <c r="DQ485" s="304">
        <f t="shared" si="2060"/>
        <v>337191.88359999994</v>
      </c>
      <c r="DR485" s="306">
        <f t="shared" si="2060"/>
        <v>205610</v>
      </c>
      <c r="DS485" s="305">
        <f t="shared" si="2060"/>
        <v>11590869457.979832</v>
      </c>
      <c r="DT485" s="306">
        <v>205635</v>
      </c>
      <c r="DU485" s="305">
        <v>11361300127.829271</v>
      </c>
      <c r="DV485" s="167">
        <f t="shared" si="2011"/>
        <v>-25</v>
      </c>
      <c r="DW485" s="167">
        <f t="shared" si="2011"/>
        <v>229569330.15056038</v>
      </c>
    </row>
    <row r="486" spans="1:127" x14ac:dyDescent="0.25">
      <c r="P486" s="1"/>
      <c r="Q486" s="1"/>
    </row>
  </sheetData>
  <autoFilter ref="A16:DX485"/>
  <mergeCells count="259">
    <mergeCell ref="DN10:DO10"/>
    <mergeCell ref="DP10:DQ10"/>
    <mergeCell ref="DR10:DS10"/>
    <mergeCell ref="DB10:DC10"/>
    <mergeCell ref="DD10:DE10"/>
    <mergeCell ref="DF10:DG10"/>
    <mergeCell ref="DH10:DI10"/>
    <mergeCell ref="DJ10:DK10"/>
    <mergeCell ref="DL10:DM10"/>
    <mergeCell ref="CP10:CQ10"/>
    <mergeCell ref="CR10:CS10"/>
    <mergeCell ref="CT10:CU10"/>
    <mergeCell ref="CV10:CW10"/>
    <mergeCell ref="CX10:CY10"/>
    <mergeCell ref="CZ10:DA10"/>
    <mergeCell ref="CD10:CE10"/>
    <mergeCell ref="CF10:CG10"/>
    <mergeCell ref="CH10:CI10"/>
    <mergeCell ref="CJ10:CK10"/>
    <mergeCell ref="CL10:CM10"/>
    <mergeCell ref="CN10:CO10"/>
    <mergeCell ref="BR10:BS10"/>
    <mergeCell ref="BT10:BU10"/>
    <mergeCell ref="BV10:BW10"/>
    <mergeCell ref="BX10:BY10"/>
    <mergeCell ref="BZ10:CA10"/>
    <mergeCell ref="CB10:CC10"/>
    <mergeCell ref="BF10:BG10"/>
    <mergeCell ref="BH10:BI10"/>
    <mergeCell ref="BJ10:BK10"/>
    <mergeCell ref="BL10:BM10"/>
    <mergeCell ref="BN10:BO10"/>
    <mergeCell ref="BP10:BQ10"/>
    <mergeCell ref="AT10:AU10"/>
    <mergeCell ref="AV10:AW10"/>
    <mergeCell ref="AX10:AY10"/>
    <mergeCell ref="AZ10:BA10"/>
    <mergeCell ref="BB10:BC10"/>
    <mergeCell ref="BD10:BE10"/>
    <mergeCell ref="AH10:AI10"/>
    <mergeCell ref="AJ10:AK10"/>
    <mergeCell ref="AL10:AM10"/>
    <mergeCell ref="AN10:AO10"/>
    <mergeCell ref="AP10:AQ10"/>
    <mergeCell ref="AR10:AS10"/>
    <mergeCell ref="DL9:DM9"/>
    <mergeCell ref="DN9:DO9"/>
    <mergeCell ref="DP9:DQ9"/>
    <mergeCell ref="P10:Q10"/>
    <mergeCell ref="R10:S10"/>
    <mergeCell ref="T10:U10"/>
    <mergeCell ref="V10:W10"/>
    <mergeCell ref="AB10:AC10"/>
    <mergeCell ref="AD10:AE10"/>
    <mergeCell ref="AF10:AG10"/>
    <mergeCell ref="CX9:CY9"/>
    <mergeCell ref="CZ9:DA9"/>
    <mergeCell ref="DD9:DE9"/>
    <mergeCell ref="DF9:DG9"/>
    <mergeCell ref="DH9:DI9"/>
    <mergeCell ref="DJ9:DK9"/>
    <mergeCell ref="CL9:CM9"/>
    <mergeCell ref="CN9:CO9"/>
    <mergeCell ref="CP9:CQ9"/>
    <mergeCell ref="CR9:CS9"/>
    <mergeCell ref="CT9:CU9"/>
    <mergeCell ref="CV9:CW9"/>
    <mergeCell ref="AB9:AC9"/>
    <mergeCell ref="CB9:CC9"/>
    <mergeCell ref="CD9:CE9"/>
    <mergeCell ref="CF9:CG9"/>
    <mergeCell ref="CH9:CI9"/>
    <mergeCell ref="CJ9:CK9"/>
    <mergeCell ref="N9:N11"/>
    <mergeCell ref="O9:O11"/>
    <mergeCell ref="P9:Q9"/>
    <mergeCell ref="R9:S9"/>
    <mergeCell ref="T9:U9"/>
    <mergeCell ref="V9:W9"/>
    <mergeCell ref="DF8:DG8"/>
    <mergeCell ref="DH8:DI8"/>
    <mergeCell ref="DJ8:DK8"/>
    <mergeCell ref="DL8:DM8"/>
    <mergeCell ref="DN8:DO8"/>
    <mergeCell ref="DP8:DQ8"/>
    <mergeCell ref="CT8:CU8"/>
    <mergeCell ref="CV8:CW8"/>
    <mergeCell ref="CX8:CY8"/>
    <mergeCell ref="CZ8:DA8"/>
    <mergeCell ref="DB8:DC8"/>
    <mergeCell ref="DD8:DE8"/>
    <mergeCell ref="CH8:CI8"/>
    <mergeCell ref="CJ8:CK8"/>
    <mergeCell ref="CL8:CM8"/>
    <mergeCell ref="CN8:CO8"/>
    <mergeCell ref="CP8:CQ8"/>
    <mergeCell ref="CR8:CS8"/>
    <mergeCell ref="BV8:BW8"/>
    <mergeCell ref="BX8:BY8"/>
    <mergeCell ref="BZ8:CA8"/>
    <mergeCell ref="CB8:CC8"/>
    <mergeCell ref="CD8:CE8"/>
    <mergeCell ref="CF8:CG8"/>
    <mergeCell ref="BJ8:BK8"/>
    <mergeCell ref="BL8:BM8"/>
    <mergeCell ref="BN8:BO8"/>
    <mergeCell ref="BP8:BQ8"/>
    <mergeCell ref="BR8:BS8"/>
    <mergeCell ref="BT8:BU8"/>
    <mergeCell ref="AX8:AY8"/>
    <mergeCell ref="AZ8:BA8"/>
    <mergeCell ref="BB8:BC8"/>
    <mergeCell ref="BD8:BE8"/>
    <mergeCell ref="BF8:BG8"/>
    <mergeCell ref="BH8:BI8"/>
    <mergeCell ref="AL8:AM8"/>
    <mergeCell ref="AN8:AO8"/>
    <mergeCell ref="AP8:AQ8"/>
    <mergeCell ref="AR8:AS8"/>
    <mergeCell ref="AT8:AU8"/>
    <mergeCell ref="AV8:AW8"/>
    <mergeCell ref="Z8:AA8"/>
    <mergeCell ref="AB8:AC8"/>
    <mergeCell ref="AD8:AE8"/>
    <mergeCell ref="AF8:AG8"/>
    <mergeCell ref="AH8:AI8"/>
    <mergeCell ref="AJ8:AK8"/>
    <mergeCell ref="DL7:DM7"/>
    <mergeCell ref="DN7:DO7"/>
    <mergeCell ref="DP7:DQ7"/>
    <mergeCell ref="DR7:DS7"/>
    <mergeCell ref="L8:O8"/>
    <mergeCell ref="P8:Q8"/>
    <mergeCell ref="R8:S8"/>
    <mergeCell ref="T8:U8"/>
    <mergeCell ref="V8:W8"/>
    <mergeCell ref="X8:Y8"/>
    <mergeCell ref="CZ7:DA7"/>
    <mergeCell ref="DB7:DC7"/>
    <mergeCell ref="DD7:DE7"/>
    <mergeCell ref="DF7:DG7"/>
    <mergeCell ref="DH7:DI7"/>
    <mergeCell ref="DJ7:DK7"/>
    <mergeCell ref="CN7:CO7"/>
    <mergeCell ref="CP7:CQ7"/>
    <mergeCell ref="CR7:CS7"/>
    <mergeCell ref="CT7:CU7"/>
    <mergeCell ref="CV7:CW7"/>
    <mergeCell ref="CX7:CY7"/>
    <mergeCell ref="CB7:CC7"/>
    <mergeCell ref="CD7:CE7"/>
    <mergeCell ref="CF7:CG7"/>
    <mergeCell ref="CH7:CI7"/>
    <mergeCell ref="CJ7:CK7"/>
    <mergeCell ref="CL7:CM7"/>
    <mergeCell ref="BP7:BQ7"/>
    <mergeCell ref="BR7:BS7"/>
    <mergeCell ref="BT7:BU7"/>
    <mergeCell ref="BV7:BW7"/>
    <mergeCell ref="BX7:BY7"/>
    <mergeCell ref="BZ7:CA7"/>
    <mergeCell ref="BD7:BE7"/>
    <mergeCell ref="BF7:BG7"/>
    <mergeCell ref="BH7:BI7"/>
    <mergeCell ref="BJ7:BK7"/>
    <mergeCell ref="BL7:BM7"/>
    <mergeCell ref="BN7:BO7"/>
    <mergeCell ref="AR7:AS7"/>
    <mergeCell ref="AT7:AU7"/>
    <mergeCell ref="AV7:AW7"/>
    <mergeCell ref="AX7:AY7"/>
    <mergeCell ref="AZ7:BA7"/>
    <mergeCell ref="BB7:BC7"/>
    <mergeCell ref="AF7:AG7"/>
    <mergeCell ref="AH7:AI7"/>
    <mergeCell ref="AJ7:AK7"/>
    <mergeCell ref="AL7:AM7"/>
    <mergeCell ref="AN7:AO7"/>
    <mergeCell ref="AP7:AQ7"/>
    <mergeCell ref="T7:U7"/>
    <mergeCell ref="V7:W7"/>
    <mergeCell ref="X7:Y7"/>
    <mergeCell ref="Z7:AA7"/>
    <mergeCell ref="AB7:AC7"/>
    <mergeCell ref="AD7:AE7"/>
    <mergeCell ref="DL6:DM6"/>
    <mergeCell ref="DN6:DO6"/>
    <mergeCell ref="DP6:DQ6"/>
    <mergeCell ref="DR6:DS6"/>
    <mergeCell ref="DT6:DU6"/>
    <mergeCell ref="DV6:DW6"/>
    <mergeCell ref="CZ6:DA6"/>
    <mergeCell ref="DB6:DC6"/>
    <mergeCell ref="DD6:DE6"/>
    <mergeCell ref="DF6:DG6"/>
    <mergeCell ref="DH6:DI6"/>
    <mergeCell ref="DJ6:DK6"/>
    <mergeCell ref="CN6:CO6"/>
    <mergeCell ref="CP6:CQ6"/>
    <mergeCell ref="CR6:CS6"/>
    <mergeCell ref="CT6:CU6"/>
    <mergeCell ref="CV6:CW6"/>
    <mergeCell ref="CX6:CY6"/>
    <mergeCell ref="CB6:CC6"/>
    <mergeCell ref="CD6:CE6"/>
    <mergeCell ref="CF6:CG6"/>
    <mergeCell ref="CH6:CI6"/>
    <mergeCell ref="CJ6:CK6"/>
    <mergeCell ref="CL6:CM6"/>
    <mergeCell ref="BP6:BQ6"/>
    <mergeCell ref="BR6:BS6"/>
    <mergeCell ref="BT6:BU6"/>
    <mergeCell ref="BV6:BW6"/>
    <mergeCell ref="BX6:BY6"/>
    <mergeCell ref="BZ6:CA6"/>
    <mergeCell ref="BD6:BE6"/>
    <mergeCell ref="BF6:BG6"/>
    <mergeCell ref="BH6:BI6"/>
    <mergeCell ref="BJ6:BK6"/>
    <mergeCell ref="BL6:BM6"/>
    <mergeCell ref="BN6:BO6"/>
    <mergeCell ref="AR6:AS6"/>
    <mergeCell ref="AT6:AU6"/>
    <mergeCell ref="AV6:AW6"/>
    <mergeCell ref="AX6:AY6"/>
    <mergeCell ref="AZ6:BA6"/>
    <mergeCell ref="BB6:BC6"/>
    <mergeCell ref="AF6:AG6"/>
    <mergeCell ref="AH6:AI6"/>
    <mergeCell ref="AJ6:AK6"/>
    <mergeCell ref="AL6:AM6"/>
    <mergeCell ref="AN6:AO6"/>
    <mergeCell ref="AP6:AQ6"/>
    <mergeCell ref="T6:U6"/>
    <mergeCell ref="V6:W6"/>
    <mergeCell ref="X6:Y6"/>
    <mergeCell ref="Z6:AA6"/>
    <mergeCell ref="AB6:AC6"/>
    <mergeCell ref="AD6:AE6"/>
    <mergeCell ref="I6:I11"/>
    <mergeCell ref="J6:J11"/>
    <mergeCell ref="K6:K11"/>
    <mergeCell ref="L6:O6"/>
    <mergeCell ref="P6:Q6"/>
    <mergeCell ref="R6:S6"/>
    <mergeCell ref="P7:Q7"/>
    <mergeCell ref="R7:S7"/>
    <mergeCell ref="L9:L11"/>
    <mergeCell ref="M9:M11"/>
    <mergeCell ref="Q1:S1"/>
    <mergeCell ref="Q2:S2"/>
    <mergeCell ref="A6:A11"/>
    <mergeCell ref="B6:B11"/>
    <mergeCell ref="C6:C11"/>
    <mergeCell ref="D6:D11"/>
    <mergeCell ref="E6:E11"/>
    <mergeCell ref="F6:F11"/>
    <mergeCell ref="G6:G11"/>
    <mergeCell ref="H6:H11"/>
  </mergeCells>
  <pageMargins left="0" right="0" top="0.39370078740157483" bottom="0" header="0.11811023622047245" footer="0.11811023622047245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2024-01-17T05:47:16Z</dcterms:created>
  <dcterms:modified xsi:type="dcterms:W3CDTF">2024-01-17T05:53:35Z</dcterms:modified>
</cp:coreProperties>
</file>